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srvad\AllDocs\Эконом\_2_Корнильева Е.И\!!!!!!ПРОГНОЗ\"/>
    </mc:Choice>
  </mc:AlternateContent>
  <xr:revisionPtr revIDLastSave="0" documentId="13_ncr:1_{25B2E3F6-F5F4-418B-B12A-56D3CE42FCA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форма 2п для МО и ГО" sheetId="2" r:id="rId1"/>
    <sheet name="Лист1" sheetId="3" r:id="rId2"/>
  </sheets>
  <definedNames>
    <definedName name="_xlnm.Print_Titles" localSheetId="0">'форма 2п для МО и ГО'!$8:$11</definedName>
    <definedName name="_xlnm.Print_Area" localSheetId="0">'форма 2п для МО и ГО'!$A$1:$K$193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93" i="2" l="1"/>
  <c r="D174" i="2" l="1"/>
  <c r="E174" i="2"/>
  <c r="F174" i="2" s="1"/>
  <c r="H174" i="2" s="1"/>
  <c r="J174" i="2" s="1"/>
  <c r="G174" i="2" l="1"/>
  <c r="I174" i="2" s="1"/>
  <c r="K174" i="2" s="1"/>
  <c r="D66" i="2" l="1"/>
  <c r="E160" i="2" l="1"/>
  <c r="E153" i="2" s="1"/>
  <c r="C153" i="2"/>
  <c r="D153" i="2"/>
  <c r="E92" i="2"/>
  <c r="E88" i="2"/>
  <c r="E68" i="2"/>
  <c r="D69" i="2"/>
  <c r="E22" i="2"/>
  <c r="F22" i="2" s="1"/>
  <c r="K18" i="2"/>
  <c r="J18" i="2"/>
  <c r="I18" i="2"/>
  <c r="H18" i="2"/>
  <c r="G18" i="2"/>
  <c r="F18" i="2"/>
  <c r="E18" i="2"/>
  <c r="K17" i="2"/>
  <c r="J17" i="2"/>
  <c r="I17" i="2"/>
  <c r="H17" i="2"/>
  <c r="G17" i="2"/>
  <c r="E17" i="2"/>
  <c r="F17" i="2"/>
  <c r="F19" i="2" s="1"/>
  <c r="G16" i="2"/>
  <c r="I16" i="2" s="1"/>
  <c r="K16" i="2" s="1"/>
  <c r="D189" i="2"/>
  <c r="E189" i="2" s="1"/>
  <c r="G189" i="2" s="1"/>
  <c r="I189" i="2" s="1"/>
  <c r="K189" i="2" s="1"/>
  <c r="E188" i="2"/>
  <c r="F188" i="2" s="1"/>
  <c r="H188" i="2" s="1"/>
  <c r="J188" i="2" s="1"/>
  <c r="E176" i="2"/>
  <c r="F176" i="2"/>
  <c r="G176" i="2"/>
  <c r="H176" i="2"/>
  <c r="I176" i="2"/>
  <c r="J176" i="2"/>
  <c r="K176" i="2"/>
  <c r="I175" i="2"/>
  <c r="H175" i="2"/>
  <c r="K175" i="2"/>
  <c r="J175" i="2"/>
  <c r="G175" i="2"/>
  <c r="F175" i="2"/>
  <c r="E175" i="2"/>
  <c r="E167" i="2"/>
  <c r="F167" i="2" s="1"/>
  <c r="D168" i="2"/>
  <c r="E161" i="2"/>
  <c r="G161" i="2" s="1"/>
  <c r="C157" i="2"/>
  <c r="D157" i="2"/>
  <c r="E157" i="2"/>
  <c r="G158" i="2"/>
  <c r="I158" i="2" s="1"/>
  <c r="K158" i="2" s="1"/>
  <c r="K157" i="2" s="1"/>
  <c r="F158" i="2"/>
  <c r="H158" i="2" s="1"/>
  <c r="J158" i="2" s="1"/>
  <c r="J157" i="2" s="1"/>
  <c r="F156" i="2"/>
  <c r="G155" i="2"/>
  <c r="I155" i="2" s="1"/>
  <c r="F155" i="2"/>
  <c r="H155" i="2" s="1"/>
  <c r="J155" i="2" s="1"/>
  <c r="G107" i="2"/>
  <c r="I107" i="2" s="1"/>
  <c r="K107" i="2" s="1"/>
  <c r="F107" i="2"/>
  <c r="H107" i="2" s="1"/>
  <c r="J107" i="2" s="1"/>
  <c r="E103" i="2"/>
  <c r="G103" i="2" s="1"/>
  <c r="I103" i="2" s="1"/>
  <c r="K103" i="2" s="1"/>
  <c r="D104" i="2"/>
  <c r="E101" i="2"/>
  <c r="F101" i="2" s="1"/>
  <c r="H101" i="2" s="1"/>
  <c r="J101" i="2" s="1"/>
  <c r="D102" i="2"/>
  <c r="E65" i="2"/>
  <c r="H16" i="2"/>
  <c r="J16" i="2" s="1"/>
  <c r="E13" i="2"/>
  <c r="F13" i="2" s="1"/>
  <c r="H13" i="2" s="1"/>
  <c r="E14" i="2"/>
  <c r="F14" i="2" s="1"/>
  <c r="H14" i="2" s="1"/>
  <c r="I19" i="2" l="1"/>
  <c r="F160" i="2"/>
  <c r="H160" i="2" s="1"/>
  <c r="J160" i="2" s="1"/>
  <c r="F161" i="2"/>
  <c r="H161" i="2" s="1"/>
  <c r="J161" i="2" s="1"/>
  <c r="G188" i="2"/>
  <c r="I188" i="2" s="1"/>
  <c r="K188" i="2" s="1"/>
  <c r="E19" i="2"/>
  <c r="J19" i="2"/>
  <c r="G19" i="2"/>
  <c r="K19" i="2"/>
  <c r="H19" i="2"/>
  <c r="G13" i="2"/>
  <c r="I157" i="2"/>
  <c r="F157" i="2"/>
  <c r="H157" i="2"/>
  <c r="G157" i="2"/>
  <c r="F103" i="2"/>
  <c r="H103" i="2" s="1"/>
  <c r="J103" i="2" s="1"/>
  <c r="G101" i="2"/>
  <c r="I101" i="2" s="1"/>
  <c r="K101" i="2" s="1"/>
  <c r="G14" i="2"/>
  <c r="I14" i="2" s="1"/>
  <c r="K14" i="2" s="1"/>
  <c r="E102" i="2"/>
  <c r="G160" i="2" l="1"/>
  <c r="I160" i="2" s="1"/>
  <c r="K160" i="2" s="1"/>
  <c r="D89" i="2"/>
  <c r="F65" i="2"/>
  <c r="D25" i="2"/>
  <c r="G22" i="2"/>
  <c r="I22" i="2" s="1"/>
  <c r="H22" i="2"/>
  <c r="J22" i="2" s="1"/>
  <c r="D23" i="2"/>
  <c r="E15" i="2" l="1"/>
  <c r="G15" i="2" l="1"/>
  <c r="I15" i="2" s="1"/>
  <c r="K15" i="2" s="1"/>
  <c r="F15" i="2"/>
  <c r="H15" i="2" s="1"/>
  <c r="J15" i="2" s="1"/>
  <c r="E83" i="2"/>
  <c r="G83" i="2" s="1"/>
  <c r="I83" i="2" s="1"/>
  <c r="K83" i="2" s="1"/>
  <c r="E82" i="2"/>
  <c r="F82" i="2" s="1"/>
  <c r="H82" i="2" s="1"/>
  <c r="J82" i="2" s="1"/>
  <c r="G187" i="2"/>
  <c r="I187" i="2" s="1"/>
  <c r="K187" i="2" s="1"/>
  <c r="G182" i="2"/>
  <c r="F182" i="2"/>
  <c r="D176" i="2"/>
  <c r="C176" i="2"/>
  <c r="D175" i="2"/>
  <c r="C175" i="2"/>
  <c r="H167" i="2"/>
  <c r="J167" i="2" s="1"/>
  <c r="D163" i="2"/>
  <c r="F187" i="2"/>
  <c r="H187" i="2" s="1"/>
  <c r="J187" i="2" s="1"/>
  <c r="F180" i="2"/>
  <c r="H182" i="2" s="1"/>
  <c r="F83" i="2" l="1"/>
  <c r="H83" i="2" s="1"/>
  <c r="J83" i="2" s="1"/>
  <c r="G167" i="2"/>
  <c r="I167" i="2" s="1"/>
  <c r="K167" i="2" s="1"/>
  <c r="G82" i="2"/>
  <c r="I82" i="2" s="1"/>
  <c r="K82" i="2" s="1"/>
  <c r="E162" i="2"/>
  <c r="E163" i="2" s="1"/>
  <c r="F162" i="2" l="1"/>
  <c r="G162" i="2"/>
  <c r="I162" i="2" s="1"/>
  <c r="K162" i="2" s="1"/>
  <c r="K22" i="2"/>
  <c r="I13" i="2"/>
  <c r="K13" i="2" s="1"/>
  <c r="H180" i="2"/>
  <c r="G180" i="2"/>
  <c r="E155" i="2"/>
  <c r="K155" i="2" s="1"/>
  <c r="I180" i="2" l="1"/>
  <c r="I182" i="2"/>
  <c r="J180" i="2"/>
  <c r="J182" i="2"/>
  <c r="F189" i="2"/>
  <c r="H189" i="2" s="1"/>
  <c r="J189" i="2" s="1"/>
  <c r="K180" i="2" l="1"/>
  <c r="K182" i="2"/>
  <c r="D154" i="2" l="1"/>
  <c r="C154" i="2"/>
  <c r="G156" i="2"/>
  <c r="I156" i="2" s="1"/>
  <c r="K156" i="2" s="1"/>
  <c r="K154" i="2" s="1"/>
  <c r="H156" i="2"/>
  <c r="J156" i="2" s="1"/>
  <c r="J154" i="2" s="1"/>
  <c r="E156" i="2"/>
  <c r="E154" i="2" s="1"/>
  <c r="I161" i="2" l="1"/>
  <c r="K161" i="2" s="1"/>
  <c r="H154" i="2"/>
  <c r="F154" i="2"/>
  <c r="G154" i="2"/>
  <c r="I154" i="2"/>
  <c r="H153" i="2" l="1"/>
  <c r="F153" i="2"/>
  <c r="D94" i="2"/>
  <c r="E94" i="2" s="1"/>
  <c r="D93" i="2"/>
  <c r="J153" i="2" l="1"/>
  <c r="G153" i="2"/>
  <c r="G94" i="2"/>
  <c r="I94" i="2" s="1"/>
  <c r="K94" i="2" s="1"/>
  <c r="F94" i="2"/>
  <c r="H94" i="2" s="1"/>
  <c r="J94" i="2" s="1"/>
  <c r="K153" i="2" l="1"/>
  <c r="I153" i="2"/>
  <c r="K90" i="2" l="1"/>
  <c r="G65" i="2" l="1"/>
  <c r="I65" i="2" s="1"/>
  <c r="K65" i="2" s="1"/>
  <c r="H65" i="2" l="1"/>
  <c r="J65" i="2" s="1"/>
  <c r="J13" i="2"/>
  <c r="D17" i="2"/>
  <c r="D18" i="2"/>
  <c r="D19" i="2" l="1"/>
  <c r="J14" i="2"/>
  <c r="E24" i="2" l="1"/>
  <c r="F24" i="2" l="1"/>
  <c r="H24" i="2" s="1"/>
  <c r="J24" i="2" s="1"/>
  <c r="G24" i="2"/>
  <c r="I24" i="2" s="1"/>
  <c r="K24" i="2" s="1"/>
  <c r="H162" i="2" l="1"/>
  <c r="J162" i="2" s="1"/>
  <c r="H163" i="2" l="1"/>
  <c r="F68" i="2"/>
  <c r="H68" i="2" s="1"/>
  <c r="J68" i="2" s="1"/>
  <c r="G68" i="2"/>
  <c r="I68" i="2" s="1"/>
  <c r="K68" i="2" s="1"/>
  <c r="F88" i="2"/>
  <c r="H88" i="2" s="1"/>
  <c r="J88" i="2" s="1"/>
  <c r="G88" i="2" l="1"/>
  <c r="I88" i="2" s="1"/>
  <c r="K88" i="2" s="1"/>
  <c r="F92" i="2"/>
  <c r="G92" i="2"/>
  <c r="I92" i="2" s="1"/>
  <c r="K92" i="2" s="1"/>
  <c r="H92" i="2" l="1"/>
  <c r="J92" i="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Professional</author>
    <author>ArtaIII</author>
    <author>Leonora</author>
  </authors>
  <commentList>
    <comment ref="D13" authorId="0" shapeId="0" xr:uid="{00000000-0006-0000-0000-000001000000}">
      <text>
        <r>
          <rPr>
            <b/>
            <sz val="9"/>
            <color indexed="81"/>
            <rFont val="Tahoma"/>
            <family val="2"/>
            <charset val="204"/>
          </rPr>
          <t>econom: статистика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D14" authorId="0" shapeId="0" xr:uid="{00000000-0006-0000-0000-000002000000}">
      <text>
        <r>
          <rPr>
            <b/>
            <sz val="9"/>
            <color indexed="81"/>
            <rFont val="Tahoma"/>
            <family val="2"/>
            <charset val="204"/>
          </rPr>
          <t>econom: статистика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E14" authorId="0" shapeId="0" xr:uid="{00000000-0006-0000-0000-000003000000}">
      <text>
        <r>
          <rPr>
            <b/>
            <sz val="9"/>
            <color indexed="81"/>
            <rFont val="Tahoma"/>
            <family val="2"/>
            <charset val="204"/>
          </rPr>
          <t>Professional:</t>
        </r>
        <r>
          <rPr>
            <sz val="9"/>
            <color indexed="81"/>
            <rFont val="Tahoma"/>
            <family val="2"/>
            <charset val="204"/>
          </rPr>
          <t xml:space="preserve">
средний 2021-2023
101,67%</t>
        </r>
      </text>
    </comment>
    <comment ref="D15" authorId="0" shapeId="0" xr:uid="{00000000-0006-0000-0000-000004000000}">
      <text>
        <r>
          <rPr>
            <b/>
            <sz val="9"/>
            <color indexed="81"/>
            <rFont val="Tahoma"/>
            <family val="2"/>
            <charset val="204"/>
          </rPr>
          <t>econom: статистика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E15" authorId="0" shapeId="0" xr:uid="{00000000-0006-0000-0000-000005000000}">
      <text>
        <r>
          <rPr>
            <b/>
            <sz val="9"/>
            <color indexed="81"/>
            <rFont val="Tahoma"/>
            <family val="2"/>
            <charset val="204"/>
          </rPr>
          <t>Professional:</t>
        </r>
        <r>
          <rPr>
            <sz val="9"/>
            <color indexed="81"/>
            <rFont val="Tahoma"/>
            <family val="2"/>
            <charset val="204"/>
          </rPr>
          <t xml:space="preserve">
средний 2021-2023
94%</t>
        </r>
      </text>
    </comment>
    <comment ref="D16" authorId="0" shapeId="0" xr:uid="{00000000-0006-0000-0000-000006000000}">
      <text>
        <r>
          <rPr>
            <b/>
            <sz val="9"/>
            <color indexed="81"/>
            <rFont val="Tahoma"/>
            <family val="2"/>
            <charset val="204"/>
          </rPr>
          <t xml:space="preserve">Professional:
</t>
        </r>
        <r>
          <rPr>
            <sz val="9"/>
            <color indexed="81"/>
            <rFont val="Tahoma"/>
            <family val="2"/>
            <charset val="204"/>
          </rPr>
          <t>статистика</t>
        </r>
      </text>
    </comment>
    <comment ref="E16" authorId="0" shapeId="0" xr:uid="{00000000-0006-0000-0000-000007000000}">
      <text>
        <r>
          <rPr>
            <b/>
            <sz val="9"/>
            <color indexed="81"/>
            <rFont val="Tahoma"/>
            <family val="2"/>
            <charset val="204"/>
          </rPr>
          <t>Professional:</t>
        </r>
        <r>
          <rPr>
            <sz val="9"/>
            <color indexed="81"/>
            <rFont val="Tahoma"/>
            <family val="2"/>
            <charset val="204"/>
          </rPr>
          <t xml:space="preserve">
средний 2021-2023</t>
        </r>
      </text>
    </comment>
    <comment ref="D17" authorId="0" shapeId="0" xr:uid="{00000000-0006-0000-0000-000008000000}">
      <text>
        <r>
          <rPr>
            <b/>
            <sz val="9"/>
            <color indexed="81"/>
            <rFont val="Tahoma"/>
            <family val="2"/>
            <charset val="204"/>
          </rPr>
          <t xml:space="preserve">econom: </t>
        </r>
        <r>
          <rPr>
            <sz val="9"/>
            <color indexed="81"/>
            <rFont val="Tahoma"/>
            <family val="2"/>
            <charset val="204"/>
          </rPr>
          <t>статистика
1008</t>
        </r>
      </text>
    </comment>
    <comment ref="E17" authorId="0" shapeId="0" xr:uid="{00000000-0006-0000-0000-000009000000}">
      <text>
        <r>
          <rPr>
            <b/>
            <sz val="9"/>
            <color indexed="81"/>
            <rFont val="Tahoma"/>
            <family val="2"/>
            <charset val="204"/>
          </rPr>
          <t xml:space="preserve">econom:
</t>
        </r>
        <r>
          <rPr>
            <sz val="9"/>
            <color indexed="81"/>
            <rFont val="Tahoma"/>
            <family val="2"/>
            <charset val="204"/>
          </rPr>
          <t>средний</t>
        </r>
        <r>
          <rPr>
            <b/>
            <sz val="9"/>
            <color indexed="81"/>
            <rFont val="Tahoma"/>
            <family val="2"/>
            <charset val="204"/>
          </rPr>
          <t xml:space="preserve"> </t>
        </r>
        <r>
          <rPr>
            <sz val="9"/>
            <color indexed="81"/>
            <rFont val="Tahoma"/>
            <family val="2"/>
            <charset val="204"/>
          </rPr>
          <t>2021-2023
93,1%</t>
        </r>
      </text>
    </comment>
    <comment ref="D18" authorId="0" shapeId="0" xr:uid="{00000000-0006-0000-0000-00000A000000}">
      <text>
        <r>
          <rPr>
            <b/>
            <sz val="9"/>
            <color indexed="81"/>
            <rFont val="Tahoma"/>
            <family val="2"/>
            <charset val="204"/>
          </rPr>
          <t xml:space="preserve">econom: </t>
        </r>
        <r>
          <rPr>
            <sz val="9"/>
            <color indexed="81"/>
            <rFont val="Tahoma"/>
            <family val="2"/>
            <charset val="204"/>
          </rPr>
          <t>статистика
1213</t>
        </r>
      </text>
    </comment>
    <comment ref="E18" authorId="0" shapeId="0" xr:uid="{00000000-0006-0000-0000-00000B000000}">
      <text>
        <r>
          <rPr>
            <b/>
            <sz val="9"/>
            <color indexed="81"/>
            <rFont val="Tahoma"/>
            <family val="2"/>
            <charset val="204"/>
          </rPr>
          <t>econom:</t>
        </r>
        <r>
          <rPr>
            <sz val="9"/>
            <color indexed="81"/>
            <rFont val="Tahoma"/>
            <family val="2"/>
            <charset val="204"/>
          </rPr>
          <t xml:space="preserve">
средний 2021-2023
85,9%</t>
        </r>
      </text>
    </comment>
    <comment ref="C20" authorId="0" shapeId="0" xr:uid="{00000000-0006-0000-0000-00000C000000}">
      <text>
        <r>
          <rPr>
            <b/>
            <sz val="9"/>
            <color indexed="81"/>
            <rFont val="Tahoma"/>
            <family val="2"/>
            <charset val="204"/>
          </rPr>
          <t>Professional:</t>
        </r>
        <r>
          <rPr>
            <sz val="9"/>
            <color indexed="81"/>
            <rFont val="Tahoma"/>
            <family val="2"/>
            <charset val="204"/>
          </rPr>
          <t xml:space="preserve">
статистика</t>
        </r>
      </text>
    </comment>
    <comment ref="D20" authorId="0" shapeId="0" xr:uid="{00000000-0006-0000-0000-00000D000000}">
      <text>
        <r>
          <rPr>
            <b/>
            <sz val="9"/>
            <color indexed="81"/>
            <rFont val="Tahoma"/>
            <family val="2"/>
            <charset val="204"/>
          </rPr>
          <t>Professional:</t>
        </r>
        <r>
          <rPr>
            <sz val="9"/>
            <color indexed="81"/>
            <rFont val="Tahoma"/>
            <family val="2"/>
            <charset val="204"/>
          </rPr>
          <t xml:space="preserve">
статистика</t>
        </r>
      </text>
    </comment>
    <comment ref="E20" authorId="0" shapeId="0" xr:uid="{00000000-0006-0000-0000-00000E000000}">
      <text>
        <r>
          <rPr>
            <b/>
            <sz val="9"/>
            <color indexed="81"/>
            <rFont val="Tahoma"/>
            <family val="2"/>
            <charset val="204"/>
          </rPr>
          <t xml:space="preserve">Professional:
</t>
        </r>
        <r>
          <rPr>
            <sz val="9"/>
            <color indexed="81"/>
            <rFont val="Tahoma"/>
            <family val="2"/>
            <charset val="204"/>
          </rPr>
          <t>средний 2022-2023-262
динамика 2022-2023- 104,4%</t>
        </r>
      </text>
    </comment>
    <comment ref="D22" authorId="0" shapeId="0" xr:uid="{00000000-0006-0000-0000-00000F000000}">
      <text>
        <r>
          <rPr>
            <b/>
            <sz val="9"/>
            <color indexed="81"/>
            <rFont val="Tahoma"/>
            <family val="2"/>
            <charset val="204"/>
          </rPr>
          <t>Professional:</t>
        </r>
        <r>
          <rPr>
            <sz val="9"/>
            <color indexed="81"/>
            <rFont val="Tahoma"/>
            <family val="2"/>
            <charset val="204"/>
          </rPr>
          <t xml:space="preserve">
статистика</t>
        </r>
      </text>
    </comment>
    <comment ref="E23" authorId="0" shapeId="0" xr:uid="{00000000-0006-0000-0000-000010000000}">
      <text>
        <r>
          <rPr>
            <b/>
            <sz val="9"/>
            <color indexed="81"/>
            <rFont val="Tahoma"/>
            <family val="2"/>
            <charset val="204"/>
          </rPr>
          <t xml:space="preserve">econom:
</t>
        </r>
        <r>
          <rPr>
            <sz val="9"/>
            <color indexed="81"/>
            <rFont val="Tahoma"/>
            <family val="2"/>
            <charset val="204"/>
          </rPr>
          <t>средний 2021-2023
123,45%</t>
        </r>
      </text>
    </comment>
    <comment ref="D24" authorId="0" shapeId="0" xr:uid="{00000000-0006-0000-0000-000011000000}">
      <text>
        <r>
          <rPr>
            <b/>
            <sz val="9"/>
            <color indexed="81"/>
            <rFont val="Tahoma"/>
            <family val="2"/>
            <charset val="204"/>
          </rPr>
          <t>econom:</t>
        </r>
        <r>
          <rPr>
            <sz val="9"/>
            <color indexed="81"/>
            <rFont val="Tahoma"/>
            <family val="2"/>
            <charset val="204"/>
          </rPr>
          <t xml:space="preserve">
статистика</t>
        </r>
      </text>
    </comment>
    <comment ref="D65" authorId="0" shapeId="0" xr:uid="{00000000-0006-0000-0000-000013000000}">
      <text>
        <r>
          <rPr>
            <b/>
            <sz val="9"/>
            <color indexed="81"/>
            <rFont val="Tahoma"/>
            <family val="2"/>
            <charset val="204"/>
          </rPr>
          <t>Professional:</t>
        </r>
        <r>
          <rPr>
            <sz val="9"/>
            <color indexed="81"/>
            <rFont val="Tahoma"/>
            <family val="2"/>
            <charset val="204"/>
          </rPr>
          <t xml:space="preserve">
статистика</t>
        </r>
      </text>
    </comment>
    <comment ref="E65" authorId="0" shapeId="0" xr:uid="{00000000-0006-0000-0000-000014000000}">
      <text>
        <r>
          <rPr>
            <b/>
            <sz val="9"/>
            <color indexed="81"/>
            <rFont val="Tahoma"/>
            <family val="2"/>
            <charset val="204"/>
          </rPr>
          <t>econom:</t>
        </r>
        <r>
          <rPr>
            <sz val="9"/>
            <color indexed="81"/>
            <rFont val="Tahoma"/>
            <family val="2"/>
            <charset val="204"/>
          </rPr>
          <t xml:space="preserve">
=D65*E66/100</t>
        </r>
      </text>
    </comment>
    <comment ref="D68" authorId="0" shapeId="0" xr:uid="{00000000-0006-0000-0000-000016000000}">
      <text>
        <r>
          <rPr>
            <b/>
            <sz val="9"/>
            <color indexed="81"/>
            <rFont val="Tahoma"/>
            <family val="2"/>
            <charset val="204"/>
          </rPr>
          <t>Professional:</t>
        </r>
        <r>
          <rPr>
            <sz val="9"/>
            <color indexed="81"/>
            <rFont val="Tahoma"/>
            <family val="2"/>
            <charset val="204"/>
          </rPr>
          <t xml:space="preserve">
Водоканал</t>
        </r>
      </text>
    </comment>
    <comment ref="E68" authorId="0" shapeId="0" xr:uid="{00000000-0006-0000-0000-000017000000}">
      <text>
        <r>
          <rPr>
            <b/>
            <sz val="9"/>
            <color indexed="81"/>
            <rFont val="Tahoma"/>
            <family val="2"/>
            <charset val="204"/>
          </rPr>
          <t>Professional:</t>
        </r>
        <r>
          <rPr>
            <sz val="9"/>
            <color indexed="81"/>
            <rFont val="Tahoma"/>
            <family val="2"/>
            <charset val="204"/>
          </rPr>
          <t xml:space="preserve">
Водоканал</t>
        </r>
      </text>
    </comment>
    <comment ref="C71" authorId="1" shapeId="0" xr:uid="{00000000-0006-0000-0000-000018000000}">
      <text>
        <r>
          <rPr>
            <b/>
            <sz val="9"/>
            <color indexed="81"/>
            <rFont val="Tahoma"/>
            <family val="2"/>
            <charset val="204"/>
          </rPr>
          <t>eco:</t>
        </r>
        <r>
          <rPr>
            <sz val="9"/>
            <color indexed="81"/>
            <rFont val="Tahoma"/>
            <family val="2"/>
            <charset val="204"/>
          </rPr>
          <t xml:space="preserve">
ставстат
</t>
        </r>
      </text>
    </comment>
    <comment ref="C73" authorId="1" shapeId="0" xr:uid="{00000000-0006-0000-0000-000019000000}">
      <text>
        <r>
          <rPr>
            <b/>
            <sz val="9"/>
            <color indexed="81"/>
            <rFont val="Tahoma"/>
            <family val="2"/>
            <charset val="204"/>
          </rPr>
          <t>eco:</t>
        </r>
        <r>
          <rPr>
            <sz val="9"/>
            <color indexed="81"/>
            <rFont val="Tahoma"/>
            <family val="2"/>
            <charset val="204"/>
          </rPr>
          <t xml:space="preserve">
ставстат</t>
        </r>
      </text>
    </comment>
    <comment ref="C75" authorId="1" shapeId="0" xr:uid="{00000000-0006-0000-0000-00001A000000}">
      <text>
        <r>
          <rPr>
            <b/>
            <sz val="9"/>
            <color indexed="81"/>
            <rFont val="Tahoma"/>
            <family val="2"/>
            <charset val="204"/>
          </rPr>
          <t>eco:</t>
        </r>
        <r>
          <rPr>
            <sz val="9"/>
            <color indexed="81"/>
            <rFont val="Tahoma"/>
            <family val="2"/>
            <charset val="204"/>
          </rPr>
          <t xml:space="preserve">
ставстат
</t>
        </r>
      </text>
    </comment>
    <comment ref="C82" authorId="1" shapeId="0" xr:uid="{00000000-0006-0000-0000-00001B000000}">
      <text>
        <r>
          <rPr>
            <b/>
            <sz val="9"/>
            <color indexed="81"/>
            <rFont val="Tahoma"/>
            <family val="2"/>
            <charset val="204"/>
          </rPr>
          <t>eco:</t>
        </r>
        <r>
          <rPr>
            <sz val="9"/>
            <color indexed="81"/>
            <rFont val="Tahoma"/>
            <family val="2"/>
            <charset val="204"/>
          </rPr>
          <t xml:space="preserve">
Ставстат</t>
        </r>
      </text>
    </comment>
    <comment ref="D82" authorId="0" shapeId="0" xr:uid="{00000000-0006-0000-0000-00001C000000}">
      <text>
        <r>
          <rPr>
            <b/>
            <sz val="9"/>
            <color indexed="81"/>
            <rFont val="Tahoma"/>
            <family val="2"/>
            <charset val="204"/>
          </rPr>
          <t>Professional:</t>
        </r>
        <r>
          <rPr>
            <sz val="9"/>
            <color indexed="81"/>
            <rFont val="Tahoma"/>
            <family val="2"/>
            <charset val="204"/>
          </rPr>
          <t xml:space="preserve">
Статистика</t>
        </r>
      </text>
    </comment>
    <comment ref="E82" authorId="0" shapeId="0" xr:uid="{00000000-0006-0000-0000-00001D000000}">
      <text>
        <r>
          <rPr>
            <b/>
            <sz val="9"/>
            <color indexed="81"/>
            <rFont val="Tahoma"/>
            <family val="2"/>
            <charset val="204"/>
          </rPr>
          <t>Professional:</t>
        </r>
        <r>
          <rPr>
            <sz val="9"/>
            <color indexed="81"/>
            <rFont val="Tahoma"/>
            <family val="2"/>
            <charset val="204"/>
          </rPr>
          <t xml:space="preserve">
применение индекс дефлятора</t>
        </r>
      </text>
    </comment>
    <comment ref="D83" authorId="0" shapeId="0" xr:uid="{00000000-0006-0000-0000-00001E000000}">
      <text>
        <r>
          <rPr>
            <b/>
            <sz val="9"/>
            <color indexed="81"/>
            <rFont val="Tahoma"/>
            <family val="2"/>
            <charset val="204"/>
          </rPr>
          <t>Professional:</t>
        </r>
        <r>
          <rPr>
            <sz val="9"/>
            <color indexed="81"/>
            <rFont val="Tahoma"/>
            <family val="2"/>
            <charset val="204"/>
          </rPr>
          <t xml:space="preserve">
Статистика</t>
        </r>
      </text>
    </comment>
    <comment ref="E83" authorId="0" shapeId="0" xr:uid="{00000000-0006-0000-0000-00001F000000}">
      <text>
        <r>
          <rPr>
            <b/>
            <sz val="9"/>
            <color indexed="81"/>
            <rFont val="Tahoma"/>
            <family val="2"/>
            <charset val="204"/>
          </rPr>
          <t>Professional:</t>
        </r>
        <r>
          <rPr>
            <sz val="9"/>
            <color indexed="81"/>
            <rFont val="Tahoma"/>
            <family val="2"/>
            <charset val="204"/>
          </rPr>
          <t xml:space="preserve">
применение индекс дефлятора</t>
        </r>
      </text>
    </comment>
    <comment ref="D88" authorId="0" shapeId="0" xr:uid="{00000000-0006-0000-0000-000020000000}">
      <text>
        <r>
          <rPr>
            <b/>
            <sz val="9"/>
            <color indexed="81"/>
            <rFont val="Tahoma"/>
            <family val="2"/>
            <charset val="204"/>
          </rPr>
          <t>Professional:</t>
        </r>
        <r>
          <rPr>
            <sz val="9"/>
            <color indexed="81"/>
            <rFont val="Tahoma"/>
            <family val="2"/>
            <charset val="204"/>
          </rPr>
          <t xml:space="preserve">
Статистика</t>
        </r>
      </text>
    </comment>
    <comment ref="D89" authorId="0" shapeId="0" xr:uid="{00000000-0006-0000-0000-000021000000}">
      <text>
        <r>
          <rPr>
            <b/>
            <sz val="9"/>
            <color indexed="81"/>
            <rFont val="Tahoma"/>
            <family val="2"/>
            <charset val="204"/>
          </rPr>
          <t>Professional:</t>
        </r>
        <r>
          <rPr>
            <sz val="9"/>
            <color indexed="81"/>
            <rFont val="Tahoma"/>
            <family val="2"/>
            <charset val="204"/>
          </rPr>
          <t xml:space="preserve">
Статистика</t>
        </r>
      </text>
    </comment>
    <comment ref="D90" authorId="0" shapeId="0" xr:uid="{00000000-0006-0000-0000-000022000000}">
      <text>
        <r>
          <rPr>
            <b/>
            <sz val="9"/>
            <color indexed="81"/>
            <rFont val="Tahoma"/>
            <family val="2"/>
            <charset val="204"/>
          </rPr>
          <t>econom:</t>
        </r>
        <r>
          <rPr>
            <sz val="9"/>
            <color indexed="81"/>
            <rFont val="Tahoma"/>
            <family val="2"/>
            <charset val="204"/>
          </rPr>
          <t xml:space="preserve">
статистика</t>
        </r>
      </text>
    </comment>
    <comment ref="D92" authorId="0" shapeId="0" xr:uid="{00000000-0006-0000-0000-000023000000}">
      <text>
        <r>
          <rPr>
            <b/>
            <sz val="9"/>
            <color indexed="81"/>
            <rFont val="Tahoma"/>
            <family val="2"/>
            <charset val="204"/>
          </rPr>
          <t>econom:</t>
        </r>
        <r>
          <rPr>
            <sz val="9"/>
            <color indexed="81"/>
            <rFont val="Tahoma"/>
            <family val="2"/>
            <charset val="204"/>
          </rPr>
          <t xml:space="preserve">
статистика</t>
        </r>
      </text>
    </comment>
    <comment ref="E93" authorId="0" shapeId="0" xr:uid="{00000000-0006-0000-0000-000024000000}">
      <text>
        <r>
          <rPr>
            <b/>
            <sz val="9"/>
            <color indexed="81"/>
            <rFont val="Tahoma"/>
            <family val="2"/>
            <charset val="204"/>
          </rPr>
          <t>Professional:</t>
        </r>
        <r>
          <rPr>
            <sz val="9"/>
            <color indexed="81"/>
            <rFont val="Tahoma"/>
            <family val="2"/>
            <charset val="204"/>
          </rPr>
          <t xml:space="preserve">
средний за 2022-2023</t>
        </r>
      </text>
    </comment>
    <comment ref="D94" authorId="0" shapeId="0" xr:uid="{00000000-0006-0000-0000-000025000000}">
      <text>
        <r>
          <rPr>
            <b/>
            <sz val="9"/>
            <color indexed="81"/>
            <rFont val="Tahoma"/>
            <family val="2"/>
            <charset val="204"/>
          </rPr>
          <t>Professional:</t>
        </r>
        <r>
          <rPr>
            <sz val="9"/>
            <color indexed="81"/>
            <rFont val="Tahoma"/>
            <family val="2"/>
            <charset val="204"/>
          </rPr>
          <t xml:space="preserve">
средний 2019-2022</t>
        </r>
      </text>
    </comment>
    <comment ref="D95" authorId="2" shapeId="0" xr:uid="{00000000-0006-0000-0000-000026000000}">
      <text>
        <r>
          <rPr>
            <b/>
            <sz val="9"/>
            <color indexed="81"/>
            <rFont val="Tahoma"/>
            <family val="2"/>
            <charset val="204"/>
          </rPr>
          <t>Leonora:</t>
        </r>
        <r>
          <rPr>
            <sz val="9"/>
            <color indexed="81"/>
            <rFont val="Tahoma"/>
            <family val="2"/>
            <charset val="204"/>
          </rPr>
          <t xml:space="preserve">
индекс средний за 4 г. 2019 г.-14353,90, 2020 г.-11273,10
</t>
        </r>
      </text>
    </comment>
    <comment ref="D97" authorId="0" shapeId="0" xr:uid="{00000000-0006-0000-0000-000027000000}">
      <text>
        <r>
          <rPr>
            <b/>
            <sz val="9"/>
            <color indexed="81"/>
            <rFont val="Tahoma"/>
            <family val="2"/>
            <charset val="204"/>
          </rPr>
          <t>econom:</t>
        </r>
        <r>
          <rPr>
            <sz val="9"/>
            <color indexed="81"/>
            <rFont val="Tahoma"/>
            <family val="2"/>
            <charset val="204"/>
          </rPr>
          <t xml:space="preserve">
статистика</t>
        </r>
      </text>
    </comment>
    <comment ref="E97" authorId="0" shapeId="0" xr:uid="{00000000-0006-0000-0000-000028000000}">
      <text>
        <r>
          <rPr>
            <b/>
            <sz val="9"/>
            <color indexed="81"/>
            <rFont val="Tahoma"/>
            <family val="2"/>
            <charset val="204"/>
          </rPr>
          <t>econom:</t>
        </r>
        <r>
          <rPr>
            <sz val="9"/>
            <color indexed="81"/>
            <rFont val="Tahoma"/>
            <family val="2"/>
            <charset val="204"/>
          </rPr>
          <t xml:space="preserve">
статистика 1 квартал 2024
-929
</t>
        </r>
      </text>
    </comment>
    <comment ref="F97" authorId="0" shapeId="0" xr:uid="{00000000-0006-0000-0000-000029000000}">
      <text>
        <r>
          <rPr>
            <b/>
            <sz val="9"/>
            <color indexed="81"/>
            <rFont val="Tahoma"/>
            <family val="2"/>
            <charset val="204"/>
          </rPr>
          <t>Professional:</t>
        </r>
        <r>
          <rPr>
            <sz val="9"/>
            <color indexed="81"/>
            <rFont val="Tahoma"/>
            <family val="2"/>
            <charset val="204"/>
          </rPr>
          <t xml:space="preserve">
+0,5%</t>
        </r>
      </text>
    </comment>
    <comment ref="G97" authorId="0" shapeId="0" xr:uid="{00000000-0006-0000-0000-00002A000000}">
      <text>
        <r>
          <rPr>
            <b/>
            <sz val="9"/>
            <color indexed="81"/>
            <rFont val="Tahoma"/>
            <family val="2"/>
            <charset val="204"/>
          </rPr>
          <t>econom:</t>
        </r>
        <r>
          <rPr>
            <sz val="9"/>
            <color indexed="81"/>
            <rFont val="Tahoma"/>
            <family val="2"/>
            <charset val="204"/>
          </rPr>
          <t xml:space="preserve">
+1%</t>
        </r>
      </text>
    </comment>
    <comment ref="D98" authorId="0" shapeId="0" xr:uid="{00000000-0006-0000-0000-00002B000000}">
      <text>
        <r>
          <rPr>
            <b/>
            <sz val="9"/>
            <color indexed="81"/>
            <rFont val="Tahoma"/>
            <family val="2"/>
            <charset val="204"/>
          </rPr>
          <t>econom:</t>
        </r>
        <r>
          <rPr>
            <sz val="9"/>
            <color indexed="81"/>
            <rFont val="Tahoma"/>
            <family val="2"/>
            <charset val="204"/>
          </rPr>
          <t xml:space="preserve">
статистика</t>
        </r>
      </text>
    </comment>
    <comment ref="E98" authorId="0" shapeId="0" xr:uid="{00000000-0006-0000-0000-00002C000000}">
      <text>
        <r>
          <rPr>
            <b/>
            <sz val="9"/>
            <color indexed="81"/>
            <rFont val="Tahoma"/>
            <family val="2"/>
            <charset val="204"/>
          </rPr>
          <t>econom:</t>
        </r>
        <r>
          <rPr>
            <sz val="9"/>
            <color indexed="81"/>
            <rFont val="Tahoma"/>
            <family val="2"/>
            <charset val="204"/>
          </rPr>
          <t xml:space="preserve">
статистика 1 квартал 2024</t>
        </r>
      </text>
    </comment>
    <comment ref="F98" authorId="0" shapeId="0" xr:uid="{00000000-0006-0000-0000-00002D000000}">
      <text>
        <r>
          <rPr>
            <b/>
            <sz val="9"/>
            <color indexed="81"/>
            <rFont val="Tahoma"/>
            <family val="2"/>
            <charset val="204"/>
          </rPr>
          <t>Professional:</t>
        </r>
        <r>
          <rPr>
            <sz val="9"/>
            <color indexed="81"/>
            <rFont val="Tahoma"/>
            <family val="2"/>
            <charset val="204"/>
          </rPr>
          <t xml:space="preserve">
+0,5%</t>
        </r>
      </text>
    </comment>
    <comment ref="G98" authorId="0" shapeId="0" xr:uid="{00000000-0006-0000-0000-00002E000000}">
      <text>
        <r>
          <rPr>
            <b/>
            <sz val="9"/>
            <color indexed="81"/>
            <rFont val="Tahoma"/>
            <family val="2"/>
            <charset val="204"/>
          </rPr>
          <t>econom:</t>
        </r>
        <r>
          <rPr>
            <sz val="9"/>
            <color indexed="81"/>
            <rFont val="Tahoma"/>
            <family val="2"/>
            <charset val="204"/>
          </rPr>
          <t xml:space="preserve">
+1%</t>
        </r>
      </text>
    </comment>
    <comment ref="D99" authorId="0" shapeId="0" xr:uid="{00000000-0006-0000-0000-00002F000000}">
      <text>
        <r>
          <rPr>
            <b/>
            <sz val="9"/>
            <color indexed="81"/>
            <rFont val="Tahoma"/>
            <family val="2"/>
            <charset val="204"/>
          </rPr>
          <t>econom:</t>
        </r>
        <r>
          <rPr>
            <sz val="9"/>
            <color indexed="81"/>
            <rFont val="Tahoma"/>
            <family val="2"/>
            <charset val="204"/>
          </rPr>
          <t xml:space="preserve">
ИФНС</t>
        </r>
      </text>
    </comment>
    <comment ref="E99" authorId="0" shapeId="0" xr:uid="{00000000-0006-0000-0000-000030000000}">
      <text>
        <r>
          <rPr>
            <b/>
            <sz val="9"/>
            <color indexed="81"/>
            <rFont val="Tahoma"/>
            <family val="2"/>
            <charset val="204"/>
          </rPr>
          <t>econom:</t>
        </r>
        <r>
          <rPr>
            <sz val="9"/>
            <color indexed="81"/>
            <rFont val="Tahoma"/>
            <family val="2"/>
            <charset val="204"/>
          </rPr>
          <t xml:space="preserve">
индекс дефлятора оборот отгруженной продукции</t>
        </r>
      </text>
    </comment>
    <comment ref="F99" authorId="0" shapeId="0" xr:uid="{00000000-0006-0000-0000-000031000000}">
      <text>
        <r>
          <rPr>
            <b/>
            <sz val="9"/>
            <color indexed="81"/>
            <rFont val="Tahoma"/>
            <family val="2"/>
            <charset val="204"/>
          </rPr>
          <t>econom:</t>
        </r>
        <r>
          <rPr>
            <sz val="9"/>
            <color indexed="81"/>
            <rFont val="Tahoma"/>
            <family val="2"/>
            <charset val="204"/>
          </rPr>
          <t xml:space="preserve">
+0,5%</t>
        </r>
      </text>
    </comment>
    <comment ref="G99" authorId="0" shapeId="0" xr:uid="{00000000-0006-0000-0000-000032000000}">
      <text>
        <r>
          <rPr>
            <b/>
            <sz val="9"/>
            <color indexed="81"/>
            <rFont val="Tahoma"/>
            <family val="2"/>
            <charset val="204"/>
          </rPr>
          <t>econom:</t>
        </r>
        <r>
          <rPr>
            <sz val="9"/>
            <color indexed="81"/>
            <rFont val="Tahoma"/>
            <family val="2"/>
            <charset val="204"/>
          </rPr>
          <t xml:space="preserve">
+1%</t>
        </r>
      </text>
    </comment>
    <comment ref="C101" authorId="0" shapeId="0" xr:uid="{00000000-0006-0000-0000-000033000000}">
      <text>
        <r>
          <rPr>
            <b/>
            <sz val="9"/>
            <color indexed="81"/>
            <rFont val="Tahoma"/>
            <family val="2"/>
            <charset val="204"/>
          </rPr>
          <t>economl:</t>
        </r>
        <r>
          <rPr>
            <sz val="9"/>
            <color indexed="81"/>
            <rFont val="Tahoma"/>
            <family val="2"/>
            <charset val="204"/>
          </rPr>
          <t xml:space="preserve">
факт 2022</t>
        </r>
      </text>
    </comment>
    <comment ref="D101" authorId="0" shapeId="0" xr:uid="{00000000-0006-0000-0000-000034000000}">
      <text>
        <r>
          <rPr>
            <b/>
            <sz val="9"/>
            <color indexed="81"/>
            <rFont val="Tahoma"/>
            <family val="2"/>
            <charset val="204"/>
          </rPr>
          <t>econom:</t>
        </r>
        <r>
          <rPr>
            <sz val="9"/>
            <color indexed="81"/>
            <rFont val="Tahoma"/>
            <family val="2"/>
            <charset val="204"/>
          </rPr>
          <t xml:space="preserve">
факт 2023</t>
        </r>
      </text>
    </comment>
    <comment ref="C106" authorId="0" shapeId="0" xr:uid="{00000000-0006-0000-0000-000036000000}">
      <text>
        <r>
          <rPr>
            <b/>
            <sz val="9"/>
            <color indexed="81"/>
            <rFont val="Tahoma"/>
            <family val="2"/>
            <charset val="204"/>
          </rPr>
          <t>econom:</t>
        </r>
        <r>
          <rPr>
            <sz val="9"/>
            <color indexed="81"/>
            <rFont val="Tahoma"/>
            <family val="2"/>
            <charset val="204"/>
          </rPr>
          <t xml:space="preserve">
статистика</t>
        </r>
      </text>
    </comment>
    <comment ref="C107" authorId="0" shapeId="0" xr:uid="{00000000-0006-0000-0000-000037000000}">
      <text>
        <r>
          <rPr>
            <b/>
            <sz val="9"/>
            <color indexed="81"/>
            <rFont val="Tahoma"/>
            <family val="2"/>
            <charset val="204"/>
          </rPr>
          <t>econom:</t>
        </r>
        <r>
          <rPr>
            <sz val="9"/>
            <color indexed="81"/>
            <rFont val="Tahoma"/>
            <family val="2"/>
            <charset val="204"/>
          </rPr>
          <t xml:space="preserve">
статистика</t>
        </r>
      </text>
    </comment>
    <comment ref="C111" authorId="0" shapeId="0" xr:uid="{00000000-0006-0000-0000-000038000000}">
      <text>
        <r>
          <rPr>
            <b/>
            <sz val="9"/>
            <color indexed="81"/>
            <rFont val="Tahoma"/>
            <family val="2"/>
            <charset val="204"/>
          </rPr>
          <t>econom:</t>
        </r>
        <r>
          <rPr>
            <sz val="9"/>
            <color indexed="81"/>
            <rFont val="Tahoma"/>
            <family val="2"/>
            <charset val="204"/>
          </rPr>
          <t xml:space="preserve">
статистика</t>
        </r>
      </text>
    </comment>
    <comment ref="C112" authorId="0" shapeId="0" xr:uid="{00000000-0006-0000-0000-000039000000}">
      <text>
        <r>
          <rPr>
            <b/>
            <sz val="9"/>
            <color indexed="81"/>
            <rFont val="Tahoma"/>
            <family val="2"/>
            <charset val="204"/>
          </rPr>
          <t>econom:</t>
        </r>
        <r>
          <rPr>
            <sz val="9"/>
            <color indexed="81"/>
            <rFont val="Tahoma"/>
            <family val="2"/>
            <charset val="204"/>
          </rPr>
          <t xml:space="preserve">
статистика</t>
        </r>
      </text>
    </comment>
    <comment ref="C113" authorId="0" shapeId="0" xr:uid="{00000000-0006-0000-0000-00003A000000}">
      <text>
        <r>
          <rPr>
            <b/>
            <sz val="9"/>
            <color indexed="81"/>
            <rFont val="Tahoma"/>
            <family val="2"/>
            <charset val="204"/>
          </rPr>
          <t>econom:</t>
        </r>
        <r>
          <rPr>
            <sz val="9"/>
            <color indexed="81"/>
            <rFont val="Tahoma"/>
            <family val="2"/>
            <charset val="204"/>
          </rPr>
          <t xml:space="preserve">
статистика</t>
        </r>
      </text>
    </comment>
    <comment ref="C114" authorId="0" shapeId="0" xr:uid="{00000000-0006-0000-0000-00003B000000}">
      <text>
        <r>
          <rPr>
            <b/>
            <sz val="9"/>
            <color indexed="81"/>
            <rFont val="Tahoma"/>
            <family val="2"/>
            <charset val="204"/>
          </rPr>
          <t>econom:</t>
        </r>
        <r>
          <rPr>
            <sz val="9"/>
            <color indexed="81"/>
            <rFont val="Tahoma"/>
            <family val="2"/>
            <charset val="204"/>
          </rPr>
          <t xml:space="preserve">
статистика</t>
        </r>
      </text>
    </comment>
    <comment ref="C115" authorId="0" shapeId="0" xr:uid="{00000000-0006-0000-0000-00003C000000}">
      <text>
        <r>
          <rPr>
            <b/>
            <sz val="9"/>
            <color indexed="81"/>
            <rFont val="Tahoma"/>
            <family val="2"/>
            <charset val="204"/>
          </rPr>
          <t>econom:</t>
        </r>
        <r>
          <rPr>
            <sz val="9"/>
            <color indexed="81"/>
            <rFont val="Tahoma"/>
            <family val="2"/>
            <charset val="204"/>
          </rPr>
          <t xml:space="preserve">
статистика</t>
        </r>
      </text>
    </comment>
    <comment ref="D155" authorId="0" shapeId="0" xr:uid="{00000000-0006-0000-0000-00003D000000}">
      <text>
        <r>
          <rPr>
            <b/>
            <sz val="9"/>
            <color indexed="81"/>
            <rFont val="Tahoma"/>
            <family val="2"/>
            <charset val="204"/>
          </rPr>
          <t>Professional:</t>
        </r>
        <r>
          <rPr>
            <sz val="9"/>
            <color indexed="81"/>
            <rFont val="Tahoma"/>
            <family val="2"/>
            <charset val="204"/>
          </rPr>
          <t xml:space="preserve">
статистика</t>
        </r>
      </text>
    </comment>
    <comment ref="E155" authorId="0" shapeId="0" xr:uid="{00000000-0006-0000-0000-00003E000000}">
      <text>
        <r>
          <rPr>
            <b/>
            <sz val="9"/>
            <color indexed="81"/>
            <rFont val="Tahoma"/>
            <family val="2"/>
            <charset val="204"/>
          </rPr>
          <t>Professional:</t>
        </r>
        <r>
          <rPr>
            <sz val="9"/>
            <color indexed="81"/>
            <rFont val="Tahoma"/>
            <family val="2"/>
            <charset val="204"/>
          </rPr>
          <t xml:space="preserve">
средний 2021-2023
101,67%</t>
        </r>
      </text>
    </comment>
    <comment ref="D156" authorId="0" shapeId="0" xr:uid="{00000000-0006-0000-0000-000040000000}">
      <text>
        <r>
          <rPr>
            <b/>
            <sz val="9"/>
            <color indexed="81"/>
            <rFont val="Tahoma"/>
            <family val="2"/>
            <charset val="204"/>
          </rPr>
          <t>Professional:</t>
        </r>
        <r>
          <rPr>
            <sz val="9"/>
            <color indexed="81"/>
            <rFont val="Tahoma"/>
            <family val="2"/>
            <charset val="204"/>
          </rPr>
          <t xml:space="preserve">
ОМВД по вопросам миграции</t>
        </r>
      </text>
    </comment>
    <comment ref="D157" authorId="0" shapeId="0" xr:uid="{00000000-0006-0000-0000-000041000000}">
      <text>
        <r>
          <rPr>
            <b/>
            <sz val="9"/>
            <color indexed="81"/>
            <rFont val="Tahoma"/>
            <family val="2"/>
            <charset val="204"/>
          </rPr>
          <t>Professional:</t>
        </r>
        <r>
          <rPr>
            <sz val="9"/>
            <color indexed="81"/>
            <rFont val="Tahoma"/>
            <family val="2"/>
            <charset val="204"/>
          </rPr>
          <t xml:space="preserve">
ПФР работающие пенсионеры</t>
        </r>
      </text>
    </comment>
    <comment ref="D158" authorId="0" shapeId="0" xr:uid="{00000000-0006-0000-0000-000042000000}">
      <text>
        <r>
          <rPr>
            <b/>
            <sz val="9"/>
            <color indexed="81"/>
            <rFont val="Tahoma"/>
            <family val="2"/>
            <charset val="204"/>
          </rPr>
          <t>Professional:</t>
        </r>
        <r>
          <rPr>
            <sz val="9"/>
            <color indexed="81"/>
            <rFont val="Tahoma"/>
            <family val="2"/>
            <charset val="204"/>
          </rPr>
          <t xml:space="preserve">
ПФР, работающие пенсионеры
</t>
        </r>
      </text>
    </comment>
    <comment ref="D160" authorId="0" shapeId="0" xr:uid="{00000000-0006-0000-0000-000043000000}">
      <text>
        <r>
          <rPr>
            <b/>
            <sz val="9"/>
            <color indexed="81"/>
            <rFont val="Tahoma"/>
            <family val="2"/>
            <charset val="204"/>
          </rPr>
          <t>Professional:</t>
        </r>
        <r>
          <rPr>
            <sz val="9"/>
            <color indexed="81"/>
            <rFont val="Tahoma"/>
            <family val="2"/>
            <charset val="204"/>
          </rPr>
          <t xml:space="preserve">
Статистика</t>
        </r>
      </text>
    </comment>
    <comment ref="D162" authorId="0" shapeId="0" xr:uid="{00000000-0006-0000-0000-000044000000}">
      <text>
        <r>
          <rPr>
            <b/>
            <sz val="9"/>
            <color indexed="81"/>
            <rFont val="Tahoma"/>
            <family val="2"/>
            <charset val="204"/>
          </rPr>
          <t>Professional:</t>
        </r>
        <r>
          <rPr>
            <sz val="9"/>
            <color indexed="81"/>
            <rFont val="Tahoma"/>
            <family val="2"/>
            <charset val="204"/>
          </rPr>
          <t xml:space="preserve">
статистика</t>
        </r>
      </text>
    </comment>
    <comment ref="C164" authorId="0" shapeId="0" xr:uid="{00000000-0006-0000-0000-000046000000}">
      <text>
        <r>
          <rPr>
            <b/>
            <sz val="9"/>
            <color indexed="81"/>
            <rFont val="Tahoma"/>
            <family val="2"/>
            <charset val="204"/>
          </rPr>
          <t>Professional:</t>
        </r>
        <r>
          <rPr>
            <sz val="9"/>
            <color indexed="81"/>
            <rFont val="Tahoma"/>
            <family val="2"/>
            <charset val="204"/>
          </rPr>
          <t xml:space="preserve">
ЦЗН</t>
        </r>
      </text>
    </comment>
    <comment ref="D164" authorId="0" shapeId="0" xr:uid="{00000000-0006-0000-0000-000047000000}">
      <text>
        <r>
          <rPr>
            <b/>
            <sz val="9"/>
            <color indexed="81"/>
            <rFont val="Tahoma"/>
            <family val="2"/>
            <charset val="204"/>
          </rPr>
          <t>Professional:</t>
        </r>
        <r>
          <rPr>
            <sz val="9"/>
            <color indexed="81"/>
            <rFont val="Tahoma"/>
            <family val="2"/>
            <charset val="204"/>
          </rPr>
          <t xml:space="preserve">
ЦЗН</t>
        </r>
      </text>
    </comment>
    <comment ref="C166" authorId="0" shapeId="0" xr:uid="{00000000-0006-0000-0000-00004A000000}">
      <text>
        <r>
          <rPr>
            <b/>
            <sz val="9"/>
            <color indexed="81"/>
            <rFont val="Tahoma"/>
            <family val="2"/>
            <charset val="204"/>
          </rPr>
          <t>Professional:</t>
        </r>
        <r>
          <rPr>
            <sz val="9"/>
            <color indexed="81"/>
            <rFont val="Tahoma"/>
            <family val="2"/>
            <charset val="204"/>
          </rPr>
          <t xml:space="preserve">
ЦЗН</t>
        </r>
      </text>
    </comment>
    <comment ref="D166" authorId="0" shapeId="0" xr:uid="{00000000-0006-0000-0000-00004B000000}">
      <text>
        <r>
          <rPr>
            <b/>
            <sz val="9"/>
            <color indexed="81"/>
            <rFont val="Tahoma"/>
            <family val="2"/>
            <charset val="204"/>
          </rPr>
          <t>Professional:</t>
        </r>
        <r>
          <rPr>
            <sz val="9"/>
            <color indexed="81"/>
            <rFont val="Tahoma"/>
            <family val="2"/>
            <charset val="204"/>
          </rPr>
          <t xml:space="preserve">
ЦЗН</t>
        </r>
      </text>
    </comment>
    <comment ref="D167" authorId="0" shapeId="0" xr:uid="{00000000-0006-0000-0000-00004C000000}">
      <text>
        <r>
          <rPr>
            <b/>
            <sz val="9"/>
            <color indexed="81"/>
            <rFont val="Tahoma"/>
            <family val="2"/>
            <charset val="204"/>
          </rPr>
          <t>Professional:</t>
        </r>
        <r>
          <rPr>
            <sz val="9"/>
            <color indexed="81"/>
            <rFont val="Tahoma"/>
            <family val="2"/>
            <charset val="204"/>
          </rPr>
          <t xml:space="preserve">
статистика</t>
        </r>
      </text>
    </comment>
    <comment ref="E168" authorId="0" shapeId="0" xr:uid="{00000000-0006-0000-0000-00004D000000}">
      <text>
        <r>
          <rPr>
            <b/>
            <sz val="9"/>
            <color indexed="81"/>
            <rFont val="Tahoma"/>
            <family val="2"/>
            <charset val="204"/>
          </rPr>
          <t>Professional:</t>
        </r>
        <r>
          <rPr>
            <sz val="9"/>
            <color indexed="81"/>
            <rFont val="Tahoma"/>
            <family val="2"/>
            <charset val="204"/>
          </rPr>
          <t xml:space="preserve">
индекс дефлятор</t>
        </r>
      </text>
    </comment>
    <comment ref="D170" authorId="0" shapeId="0" xr:uid="{00000000-0006-0000-0000-00004E000000}">
      <text>
        <r>
          <rPr>
            <b/>
            <sz val="9"/>
            <color indexed="81"/>
            <rFont val="Tahoma"/>
            <family val="2"/>
            <charset val="204"/>
          </rPr>
          <t>Professional:</t>
        </r>
        <r>
          <rPr>
            <sz val="9"/>
            <color indexed="81"/>
            <rFont val="Tahoma"/>
            <family val="2"/>
            <charset val="204"/>
          </rPr>
          <t xml:space="preserve">
Индекс дефлятор</t>
        </r>
      </text>
    </comment>
    <comment ref="E170" authorId="0" shapeId="0" xr:uid="{00000000-0006-0000-0000-00004F000000}">
      <text>
        <r>
          <rPr>
            <b/>
            <sz val="9"/>
            <color indexed="81"/>
            <rFont val="Tahoma"/>
            <family val="2"/>
            <charset val="204"/>
          </rPr>
          <t>Professional:</t>
        </r>
        <r>
          <rPr>
            <sz val="9"/>
            <color indexed="81"/>
            <rFont val="Tahoma"/>
            <family val="2"/>
            <charset val="204"/>
          </rPr>
          <t xml:space="preserve">
индекс дефлятор</t>
        </r>
      </text>
    </comment>
    <comment ref="G170" authorId="0" shapeId="0" xr:uid="{00000000-0006-0000-0000-000050000000}">
      <text>
        <r>
          <rPr>
            <b/>
            <sz val="9"/>
            <color indexed="81"/>
            <rFont val="Tahoma"/>
            <family val="2"/>
            <charset val="204"/>
          </rPr>
          <t>Professional:</t>
        </r>
        <r>
          <rPr>
            <sz val="9"/>
            <color indexed="81"/>
            <rFont val="Tahoma"/>
            <family val="2"/>
            <charset val="204"/>
          </rPr>
          <t xml:space="preserve">
индекс дефлятор</t>
        </r>
      </text>
    </comment>
    <comment ref="I170" authorId="0" shapeId="0" xr:uid="{00000000-0006-0000-0000-000051000000}">
      <text>
        <r>
          <rPr>
            <b/>
            <sz val="9"/>
            <color indexed="81"/>
            <rFont val="Tahoma"/>
            <family val="2"/>
            <charset val="204"/>
          </rPr>
          <t>Professional:</t>
        </r>
        <r>
          <rPr>
            <sz val="9"/>
            <color indexed="81"/>
            <rFont val="Tahoma"/>
            <family val="2"/>
            <charset val="204"/>
          </rPr>
          <t xml:space="preserve">
индекс дефлятор</t>
        </r>
      </text>
    </comment>
    <comment ref="D172" authorId="0" shapeId="0" xr:uid="{00000000-0006-0000-0000-000052000000}">
      <text>
        <r>
          <rPr>
            <b/>
            <sz val="9"/>
            <color indexed="81"/>
            <rFont val="Tahoma"/>
            <family val="2"/>
            <charset val="204"/>
          </rPr>
          <t>Professional:</t>
        </r>
        <r>
          <rPr>
            <sz val="9"/>
            <color indexed="81"/>
            <rFont val="Tahoma"/>
            <family val="2"/>
            <charset val="204"/>
          </rPr>
          <t xml:space="preserve">
Образование</t>
        </r>
      </text>
    </comment>
    <comment ref="D174" authorId="0" shapeId="0" xr:uid="{00000000-0006-0000-0000-000053000000}">
      <text>
        <r>
          <rPr>
            <b/>
            <sz val="9"/>
            <color indexed="81"/>
            <rFont val="Tahoma"/>
            <family val="2"/>
            <charset val="204"/>
          </rPr>
          <t>Professional:</t>
        </r>
        <r>
          <rPr>
            <sz val="9"/>
            <color indexed="81"/>
            <rFont val="Tahoma"/>
            <family val="2"/>
            <charset val="204"/>
          </rPr>
          <t xml:space="preserve">
Данные организаций здравоохранения</t>
        </r>
      </text>
    </comment>
    <comment ref="G174" authorId="0" shapeId="0" xr:uid="{00000000-0006-0000-0000-000054000000}">
      <text>
        <r>
          <rPr>
            <b/>
            <sz val="9"/>
            <color indexed="81"/>
            <rFont val="Tahoma"/>
            <family val="2"/>
            <charset val="204"/>
          </rPr>
          <t>Professional:</t>
        </r>
        <r>
          <rPr>
            <sz val="9"/>
            <color indexed="81"/>
            <rFont val="Tahoma"/>
            <family val="2"/>
            <charset val="204"/>
          </rPr>
          <t xml:space="preserve">
средний 2023-2024 100,5% </t>
        </r>
      </text>
    </comment>
    <comment ref="D175" authorId="0" shapeId="0" xr:uid="{00000000-0006-0000-0000-000055000000}">
      <text>
        <r>
          <rPr>
            <b/>
            <sz val="9"/>
            <color indexed="81"/>
            <rFont val="Tahoma"/>
            <family val="2"/>
            <charset val="204"/>
          </rPr>
          <t>Professional:</t>
        </r>
        <r>
          <rPr>
            <sz val="9"/>
            <color indexed="81"/>
            <rFont val="Tahoma"/>
            <family val="2"/>
            <charset val="204"/>
          </rPr>
          <t xml:space="preserve">
Культура</t>
        </r>
      </text>
    </comment>
    <comment ref="D176" authorId="0" shapeId="0" xr:uid="{00000000-0006-0000-0000-000056000000}">
      <text>
        <r>
          <rPr>
            <b/>
            <sz val="9"/>
            <color indexed="81"/>
            <rFont val="Tahoma"/>
            <family val="2"/>
            <charset val="204"/>
          </rPr>
          <t>Professional:</t>
        </r>
        <r>
          <rPr>
            <sz val="9"/>
            <color indexed="81"/>
            <rFont val="Tahoma"/>
            <family val="2"/>
            <charset val="204"/>
          </rPr>
          <t xml:space="preserve">
Культура</t>
        </r>
      </text>
    </comment>
    <comment ref="D177" authorId="0" shapeId="0" xr:uid="{00000000-0006-0000-0000-000057000000}">
      <text>
        <r>
          <rPr>
            <b/>
            <sz val="9"/>
            <color indexed="81"/>
            <rFont val="Tahoma"/>
            <family val="2"/>
            <charset val="204"/>
          </rPr>
          <t xml:space="preserve">Professional:
</t>
        </r>
        <r>
          <rPr>
            <sz val="9"/>
            <color indexed="81"/>
            <rFont val="Tahoma"/>
            <family val="2"/>
            <charset val="204"/>
          </rPr>
          <t>Образование</t>
        </r>
      </text>
    </comment>
    <comment ref="D180" authorId="0" shapeId="0" xr:uid="{00000000-0006-0000-0000-000058000000}">
      <text>
        <r>
          <rPr>
            <b/>
            <sz val="9"/>
            <color indexed="81"/>
            <rFont val="Tahoma"/>
            <family val="2"/>
            <charset val="204"/>
          </rPr>
          <t>Professional:</t>
        </r>
        <r>
          <rPr>
            <sz val="9"/>
            <color indexed="81"/>
            <rFont val="Tahoma"/>
            <family val="2"/>
            <charset val="204"/>
          </rPr>
          <t xml:space="preserve">
Туризм</t>
        </r>
      </text>
    </comment>
    <comment ref="E180" authorId="0" shapeId="0" xr:uid="{00000000-0006-0000-0000-000059000000}">
      <text>
        <r>
          <rPr>
            <b/>
            <sz val="9"/>
            <color indexed="81"/>
            <rFont val="Tahoma"/>
            <family val="2"/>
            <charset val="204"/>
          </rPr>
          <t>Professional:</t>
        </r>
        <r>
          <rPr>
            <sz val="9"/>
            <color indexed="81"/>
            <rFont val="Tahoma"/>
            <family val="2"/>
            <charset val="204"/>
          </rPr>
          <t xml:space="preserve">
Туризм</t>
        </r>
      </text>
    </comment>
    <comment ref="D182" authorId="0" shapeId="0" xr:uid="{00000000-0006-0000-0000-00005A000000}">
      <text>
        <r>
          <rPr>
            <b/>
            <sz val="9"/>
            <color indexed="81"/>
            <rFont val="Tahoma"/>
            <family val="2"/>
            <charset val="204"/>
          </rPr>
          <t>Professional:</t>
        </r>
        <r>
          <rPr>
            <sz val="9"/>
            <color indexed="81"/>
            <rFont val="Tahoma"/>
            <family val="2"/>
            <charset val="204"/>
          </rPr>
          <t xml:space="preserve">
Туризм</t>
        </r>
      </text>
    </comment>
    <comment ref="D187" authorId="0" shapeId="0" xr:uid="{00000000-0006-0000-0000-00005B000000}">
      <text>
        <r>
          <rPr>
            <b/>
            <sz val="9"/>
            <color indexed="81"/>
            <rFont val="Tahoma"/>
            <family val="2"/>
            <charset val="204"/>
          </rPr>
          <t>Professional:</t>
        </r>
        <r>
          <rPr>
            <sz val="9"/>
            <color indexed="81"/>
            <rFont val="Tahoma"/>
            <family val="2"/>
            <charset val="204"/>
          </rPr>
          <t xml:space="preserve">
Туризм</t>
        </r>
      </text>
    </comment>
    <comment ref="D188" authorId="0" shapeId="0" xr:uid="{00000000-0006-0000-0000-00005C000000}">
      <text>
        <r>
          <rPr>
            <b/>
            <sz val="9"/>
            <color indexed="81"/>
            <rFont val="Tahoma"/>
            <family val="2"/>
            <charset val="204"/>
          </rPr>
          <t>Professional:</t>
        </r>
        <r>
          <rPr>
            <sz val="9"/>
            <color indexed="81"/>
            <rFont val="Tahoma"/>
            <family val="2"/>
            <charset val="204"/>
          </rPr>
          <t xml:space="preserve">
Туризм</t>
        </r>
      </text>
    </comment>
  </commentList>
</comments>
</file>

<file path=xl/sharedStrings.xml><?xml version="1.0" encoding="utf-8"?>
<sst xmlns="http://schemas.openxmlformats.org/spreadsheetml/2006/main" count="391" uniqueCount="220">
  <si>
    <t>Продукция сельского хозяйства</t>
  </si>
  <si>
    <t>Индекс производства продукции сельского хозяйства</t>
  </si>
  <si>
    <t>Продукция растениеводства</t>
  </si>
  <si>
    <t>Индекс производства продукции растениеводства</t>
  </si>
  <si>
    <t>Продукция животноводства</t>
  </si>
  <si>
    <t>Индекс производства продукции животноводства</t>
  </si>
  <si>
    <t>Валовой сбор зерна (в весе после доработки)</t>
  </si>
  <si>
    <t>тыс. тонн</t>
  </si>
  <si>
    <t xml:space="preserve">Валовой сбор сахарной свеклы </t>
  </si>
  <si>
    <t>Валовой сбор семян масличных культур – всего</t>
  </si>
  <si>
    <t>в том числе подсолнечника</t>
  </si>
  <si>
    <t>Валовой сбор картофеля</t>
  </si>
  <si>
    <t>Валовой сбор овощей</t>
  </si>
  <si>
    <t>Скот и птица на убой (в живом весе)</t>
  </si>
  <si>
    <t>Молоко</t>
  </si>
  <si>
    <t>Яйца</t>
  </si>
  <si>
    <t>Ввод в действие жилых домов</t>
  </si>
  <si>
    <t>%</t>
  </si>
  <si>
    <t>Оборот розничной торговли</t>
  </si>
  <si>
    <t>Объем платных услуг населению</t>
  </si>
  <si>
    <t>единиц</t>
  </si>
  <si>
    <t>тыс. чел.</t>
  </si>
  <si>
    <t>Индекс физического объема инвестиций в основной капитал</t>
  </si>
  <si>
    <t>Собственные средства</t>
  </si>
  <si>
    <t>млн.руб.</t>
  </si>
  <si>
    <t>Уровень зарегистрированной безработицы (на конец года)</t>
  </si>
  <si>
    <t>чел.</t>
  </si>
  <si>
    <t>Численность детей в дошкольных образовательных учреждениях</t>
  </si>
  <si>
    <t xml:space="preserve">Обеспеченность: </t>
  </si>
  <si>
    <t>больничными койками на 10 000 человек населения</t>
  </si>
  <si>
    <t xml:space="preserve"> коек </t>
  </si>
  <si>
    <t>общедоступными  библиотеками</t>
  </si>
  <si>
    <t>учрежд. на 100 тыс.населения</t>
  </si>
  <si>
    <t>учреждениями культурно-досугового типа</t>
  </si>
  <si>
    <t>дошкольными образовательными учреждениями</t>
  </si>
  <si>
    <t>Численность иностранных граждан, прибывших в регион по цели поездки туризм</t>
  </si>
  <si>
    <t>Численность российских граждан, выехавших за границу</t>
  </si>
  <si>
    <t>% к предыдущему году в действующих ценах</t>
  </si>
  <si>
    <t>Среднесписочная численность работников организаций (без внешних совместителей)</t>
  </si>
  <si>
    <t>мест на 1000 детей в возрасте 1-6 лет</t>
  </si>
  <si>
    <t>Показатели</t>
  </si>
  <si>
    <t>Единица измерения</t>
  </si>
  <si>
    <t>Общий коэффициент рождаемости</t>
  </si>
  <si>
    <t>Общий коэффициент смертности</t>
  </si>
  <si>
    <t>число умерших на 1000 человек населения</t>
  </si>
  <si>
    <t>Коэффициент естественного прироста населения</t>
  </si>
  <si>
    <t>на 1000 человек населения</t>
  </si>
  <si>
    <t xml:space="preserve">млн. руб. </t>
  </si>
  <si>
    <t>Оборот малых и средних предприятий, включая микропредприятия</t>
  </si>
  <si>
    <t>Объем отгруженных товаров собственного производства, выполненных работ и услуг собственными силами - РАЗДЕЛ C: Обрабатывающие производства</t>
  </si>
  <si>
    <t>Темп роста отгрузки - РАЗДЕЛ C: Обрабатывающие производства</t>
  </si>
  <si>
    <t>Обеспечение электрической энергией, газом и паром; кондиционирование воздуха</t>
  </si>
  <si>
    <t>Объем отгруженных товаров собственного производства, выполненных работ и услуг собственными силами - РАЗДЕЛ E: Водоснабжение; водоотведение, организация сбора и утилизации отходов, деятельность по ликвидации загрязнений</t>
  </si>
  <si>
    <t>Темп роста отгрузки - РАЗДЕЛ E: Водоснабжение; водоотведение, организация сбора и утилизации отходов, деятельность по ликвидации загрязнений</t>
  </si>
  <si>
    <t>Водоснабжение; водоотведение, организация сбора и утилизации отходов, деятельность по ликвидации загрязнений</t>
  </si>
  <si>
    <t>базовый</t>
  </si>
  <si>
    <t>консервативный</t>
  </si>
  <si>
    <t>1 вариант</t>
  </si>
  <si>
    <t>2 вариант</t>
  </si>
  <si>
    <t>Темп роста отгрузки - РАЗДЕЛ D: Обеспечение электрической энергией, газом и паром; кондиционирование воздуха</t>
  </si>
  <si>
    <t>Объем отгруженных товаров собственного производства, выполненных работ и услуг собственными силами - РАЗДЕЛ D: Обеспечение электрической энергией, газом и паром; кондиционирование воздуха</t>
  </si>
  <si>
    <t>Форма 2п</t>
  </si>
  <si>
    <t>Ожидаемая продолжительность жизни при рождении</t>
  </si>
  <si>
    <t>число лет</t>
  </si>
  <si>
    <t>Миграционный прирост (убыль)</t>
  </si>
  <si>
    <t>Количество малых и средних предприятий, включая микропредприятия (на конец года)</t>
  </si>
  <si>
    <t>Привлеченные средства, из них:</t>
  </si>
  <si>
    <t>Налоговые и неналоговые доходы, всего</t>
  </si>
  <si>
    <t>Неналоговые доходы</t>
  </si>
  <si>
    <t>Безвозмездные поступления всего, в том числе</t>
  </si>
  <si>
    <t>% г/г</t>
  </si>
  <si>
    <t xml:space="preserve">Доходы консолидированного бюджета </t>
  </si>
  <si>
    <t>Дефицит(-),профицит(+) консолидированного бюджета</t>
  </si>
  <si>
    <t>Государственный долг муниципального образования</t>
  </si>
  <si>
    <t>Номинальная начисленная среднемесячная заработная плата работников организаций</t>
  </si>
  <si>
    <t>Фонд заработной платы работников организаций</t>
  </si>
  <si>
    <t>Темп роста фонда заработной платы работников организаций</t>
  </si>
  <si>
    <t>Население</t>
  </si>
  <si>
    <t>Численность населения (в среднегодовом исчислении)</t>
  </si>
  <si>
    <t>Численность населения трудоспособного возраста
(на 1 января года)</t>
  </si>
  <si>
    <t>Численность населения старше трудоспособного возраста
(на 1 января года)</t>
  </si>
  <si>
    <t>число родившихся живыми
на 1000 человек населения</t>
  </si>
  <si>
    <t>млн руб.</t>
  </si>
  <si>
    <t>Промышленное производство</t>
  </si>
  <si>
    <t>% к предыдущему году
в сопоставимых ценах</t>
  </si>
  <si>
    <t>Сельское хозяйство</t>
  </si>
  <si>
    <t>Строительство</t>
  </si>
  <si>
    <t>Объем работ, выполненных по виду деятельности "Строительство"</t>
  </si>
  <si>
    <t>в ценах соответствующих лет; млн руб.</t>
  </si>
  <si>
    <t>Индекс физического объема работ, выполненных по виду деятельности "Строительство"</t>
  </si>
  <si>
    <t>тыс. кв. м общей площади</t>
  </si>
  <si>
    <t>Торговля и услуги населению</t>
  </si>
  <si>
    <t>млн рублей</t>
  </si>
  <si>
    <t>Индекс физического объема оборота розничной торговли</t>
  </si>
  <si>
    <t>Индекс физического объема платных услуг населению</t>
  </si>
  <si>
    <t>Среднесписочная численность работников на предприятиях малого и среднего предпринимательства (включая микропредприятия) (без внешних совместителей)</t>
  </si>
  <si>
    <t>млрд руб.</t>
  </si>
  <si>
    <t>налог на прибыль организаций</t>
  </si>
  <si>
    <t>налог на доходы физических лиц</t>
  </si>
  <si>
    <t>налог на добычу полезных ископаемых</t>
  </si>
  <si>
    <t>акцизы</t>
  </si>
  <si>
    <t>налог, взимаемый в связи с применением упрощенной системы налогообложения</t>
  </si>
  <si>
    <t>налог на имущество физических лиц</t>
  </si>
  <si>
    <t>налог на имущество организаций</t>
  </si>
  <si>
    <t>налог на игорный бизнес</t>
  </si>
  <si>
    <t>транспортный налог</t>
  </si>
  <si>
    <t>земельный налог</t>
  </si>
  <si>
    <t>дотации на выравнивание бюджетной обеспеченности</t>
  </si>
  <si>
    <t>общегосударственные вопросы</t>
  </si>
  <si>
    <t>национальная оборона</t>
  </si>
  <si>
    <t>национальная безопасность и правоохранительная деятельность</t>
  </si>
  <si>
    <t>национальная экономика</t>
  </si>
  <si>
    <t>жилищно-коммунальное хозяйство</t>
  </si>
  <si>
    <t>охрана окружающей среды</t>
  </si>
  <si>
    <t>образование</t>
  </si>
  <si>
    <t>культура, кинематография</t>
  </si>
  <si>
    <t>здравоохранение</t>
  </si>
  <si>
    <t>социальная политика</t>
  </si>
  <si>
    <t>физическая культура и спорт</t>
  </si>
  <si>
    <t>средства массовой информации</t>
  </si>
  <si>
    <t>обслуживание государственного и муниципального долга</t>
  </si>
  <si>
    <t>Труд и занятость</t>
  </si>
  <si>
    <t>Численность рабочей силы</t>
  </si>
  <si>
    <t>Среднегодовая численность занятых в экономике (по данным баланса трудовых ресурсов)</t>
  </si>
  <si>
    <t>Темп роста номинальной начисленной среднемесячной заработной платы работников организаций</t>
  </si>
  <si>
    <t>Общая численность безработных (по методологии МОТ)</t>
  </si>
  <si>
    <t>Численность безработных, зарегистрированных в государственных учреждениях службы занятости населения (на конец года)</t>
  </si>
  <si>
    <t>Финансы организаций</t>
  </si>
  <si>
    <t>Темп роста прибыли прибыльных организаций для целей бухгалтерского учета</t>
  </si>
  <si>
    <t xml:space="preserve">Консолидированный бюджет </t>
  </si>
  <si>
    <t>Расходы консолидированного бюджета, в том числе по направлениям:</t>
  </si>
  <si>
    <t xml:space="preserve">Производство важнейших видов продукции в натуральном выражении </t>
  </si>
  <si>
    <t>Развитие социальной сферы</t>
  </si>
  <si>
    <t>Туризм</t>
  </si>
  <si>
    <t>Инвестиции в основной капитал</t>
  </si>
  <si>
    <t>в ценах соответствующих лет; млн. руб.</t>
  </si>
  <si>
    <t>% к предыдущему году в сопоставимых ценах</t>
  </si>
  <si>
    <t>Объем инвестиций в основной капитал за счет всех источников финансирования (без субъектов малого предпринимательства и объемов инвестиций, не наблюдаемых прямыми статистическими методами) - всего</t>
  </si>
  <si>
    <t>Индекс физического объема</t>
  </si>
  <si>
    <t>Инвестиции в основной капитал по источникам финансирования</t>
  </si>
  <si>
    <t>млн. рублей</t>
  </si>
  <si>
    <t xml:space="preserve">     кредиты банков, в том числе:</t>
  </si>
  <si>
    <t xml:space="preserve">     кредиты иностранных банков</t>
  </si>
  <si>
    <t>Заемные средства других организаций</t>
  </si>
  <si>
    <t>Бюджетные средства, в том числе:</t>
  </si>
  <si>
    <t xml:space="preserve">     федеральный бюджет</t>
  </si>
  <si>
    <t xml:space="preserve">     бюджеты субъектов Российской Федерации</t>
  </si>
  <si>
    <t xml:space="preserve">     из местных бюджетов</t>
  </si>
  <si>
    <t>Прочие</t>
  </si>
  <si>
    <t>Инвестиции</t>
  </si>
  <si>
    <t>Приложение
 к письму минэкономразвития края 
№ МЭР -10/</t>
  </si>
  <si>
    <t>Малое и среднее предпринимательство, включая микропредприятия (без учета индивидуальных предпринимателей)</t>
  </si>
  <si>
    <t>Налоговые доходы консолидированного бюджета муниципального образования Ставропольского края всего, в том числе:</t>
  </si>
  <si>
    <t>Отчет</t>
  </si>
  <si>
    <t>Оценка показателя</t>
  </si>
  <si>
    <t>Прогноз</t>
  </si>
  <si>
    <t>субсидии из федерального бюджета</t>
  </si>
  <si>
    <t>субвенции из федерального бюджета</t>
  </si>
  <si>
    <t>дотации из федерального бюджета, в том числе:</t>
  </si>
  <si>
    <t>Численность трудовых ресурсов – всего, в том числе:</t>
  </si>
  <si>
    <t>трудоспособное население в трудоспособном возрасте</t>
  </si>
  <si>
    <t>иностранные трудовые мигранты</t>
  </si>
  <si>
    <t>численность лиц старше трудоспособного возраста и подростков, занятых в экономике, в том числе:</t>
  </si>
  <si>
    <t>пенсионеры старше трудоспособного возраста</t>
  </si>
  <si>
    <t>подростки моложе трудоспособного возраста</t>
  </si>
  <si>
    <t xml:space="preserve">Темп роста отгрузки товаров собственного производства, выполненных работ и услуг собственными силами по промышленным видам экономической деятельности </t>
  </si>
  <si>
    <t xml:space="preserve">Объем отгруженных товаров собственного производства, выполненных работ и услуг собственными силами по промышленным видам экономической деятельности </t>
  </si>
  <si>
    <t>Объем отгруженных товаров собственного производства, выполненных работ и услуг собственными силами - 10 Производство пищевых продуктов*</t>
  </si>
  <si>
    <t>Темп роста отгрузки -10 Производство пищевых продуктов*</t>
  </si>
  <si>
    <t>Темп роста отгрузки - 12 Производство табачных изделий *</t>
  </si>
  <si>
    <t>Объем отгруженных товаров собственного производства, выполненных работ и услуг собственными силами - 13 Производство текстильных изделий*</t>
  </si>
  <si>
    <t>Объем отгруженных товаров собственного производства, выполненных работ и услуг собственными силами - 12 Производство табачных изделий*</t>
  </si>
  <si>
    <t>Темп роста отгрузки -11 Производство напитков*</t>
  </si>
  <si>
    <t>Объем отгруженных товаров собственного производства, выполненных работ и услуг собственными силами - 11 Производство напитков*</t>
  </si>
  <si>
    <t>Темп роста отгрузки - 13 Производство текстильных изделий*</t>
  </si>
  <si>
    <t>Объем отгруженных товаров собственного производства, выполненных работ и услуг собственными силами - 14 Производство одежды*</t>
  </si>
  <si>
    <t>Темп роста отгрузки - 14 Производство одежды*</t>
  </si>
  <si>
    <t>Объем отгруженных товаров собственного производства, выполненных работ и услуг собственными силами - 16 Обработка древесины и производство изделий из дерева и пробки, кроме мебели, производство изделий из соломки и материалов для плетения*</t>
  </si>
  <si>
    <t>Темп отгрузки - 16 Обработка древесины и производство изделий из дерева и пробки, кроме мебели, производство изделий из соломки и материалов для плетения*</t>
  </si>
  <si>
    <t>Объем отгруженных товаров собственного производства, выполненных работ и услуг собственными силами - 17 Производство бумаги и бумажных изделий*</t>
  </si>
  <si>
    <t>Темп роста отгрузки - 17 Производство бумаги и бумажных изделий*</t>
  </si>
  <si>
    <t>Объем отгруженных товаров собственного производства, выполненных работ и услуг собственными силами - 18 Деятельность полиграфическая и копирование носителей информации*</t>
  </si>
  <si>
    <t>Темп роста отгрузки - 18 Деятельность полиграфическая и копирование носителей информации*</t>
  </si>
  <si>
    <t>Объем отгруженных товаров собственного производства, выполненных работ и услуг собственными силами - 21 Производство лекарственных средств и материалов, применяемых в медицинских целях*</t>
  </si>
  <si>
    <t>Темп роста отгрузки - 21 Производство лекарственных средств и материалов, применяемых в медицинских целях*</t>
  </si>
  <si>
    <t>Объем отгруженных товаров собственного производства, выполненных работ и услуг собственными силами - 22 Производство резиновых и пластмассовых изделий*</t>
  </si>
  <si>
    <t>Темп роста отгрузки - 22 Производство резиновых и пластмассовых изделий*</t>
  </si>
  <si>
    <t>Объем отгруженных товаров собственного производства, выполненных работ и услуг собственными силами - 23 Производство прочей неметаллической минеральной продукции*</t>
  </si>
  <si>
    <t>Темп роста отгрузки - 23 Производство прочей неметаллической минеральной продукции*</t>
  </si>
  <si>
    <t>Объем отгруженных товаров собственного производства, выполненных работ и услуг собственными силами - 24 Производство металлургическое*</t>
  </si>
  <si>
    <t>Темп роста отгрузки - 24 Производство металлургическое*</t>
  </si>
  <si>
    <t>Объем отгруженных товаров собственного производства, выполненных работ и услуг собственными силами - 25 Производство готовых металлических изделий, кроме машин и оборудования*</t>
  </si>
  <si>
    <t>Темп роста отгрузки - 25 Производство готовых металлических изделий, кроме машин и оборудования*</t>
  </si>
  <si>
    <t>Объем отгруженных товаров собственного производства, выполненных работ и услуг собственными силами - 26 Производство компьютеров, электронных и  оптических изделий*</t>
  </si>
  <si>
    <t>Темп роста отгрузки - 26 Производство компьютеров, электронных и  оптических изделий*</t>
  </si>
  <si>
    <t>Объем отгруженных товаров собственного производства, выполненных работ и услуг собственными силами - 27 Производство электрического оборудования*</t>
  </si>
  <si>
    <t>Темп роста отгрузки - 27 Производство электрического оборудования*</t>
  </si>
  <si>
    <t>Объем отгруженных товаров собственного производства, выполненных работ и услуг собственными силами - 30 Производство прочих транспортных средств и оборудования*</t>
  </si>
  <si>
    <t>Темп роста отгрузки - 30 Производство прочих транспортных средств и оборудования*</t>
  </si>
  <si>
    <t>Объем отгруженных товаров собственного производства, выполненных работ и услуг собственными силами - 31 Производство мебели*</t>
  </si>
  <si>
    <t>Темп роста отгрузки - 31 Производство мебели*</t>
  </si>
  <si>
    <t>Объем отгруженных товаров собственного производства, выполненных работ и услуг собственными силами - 32 Производство прочих готовых изделий*</t>
  </si>
  <si>
    <t>Темп роста отгрузки - 32 Производство прочих готовых изделий*</t>
  </si>
  <si>
    <t>Все страны***</t>
  </si>
  <si>
    <t xml:space="preserve">   Страны вне СНГ***</t>
  </si>
  <si>
    <t xml:space="preserve">   Страны СНГ***</t>
  </si>
  <si>
    <t xml:space="preserve">    Страны вне СНГ***</t>
  </si>
  <si>
    <t xml:space="preserve">    Страны СНГ***</t>
  </si>
  <si>
    <t>Количество российских посетителей из других регионов (резидентов)***</t>
  </si>
  <si>
    <t>Количество российских туристов, посетивших муниципальное образование***</t>
  </si>
  <si>
    <t>Объем платных услуг, оказываемых организациями санаторно-курортного и туристского комплексов муниципального образования***</t>
  </si>
  <si>
    <t>*** г.Ставрополь и города-курорты КМВ</t>
  </si>
  <si>
    <t>**  г. Ставрополь и г.Невинномысск</t>
  </si>
  <si>
    <t>*  г.Ставрополь</t>
  </si>
  <si>
    <t>Объем отгруженных товаров собственного производства, выполненных работ и услуг собственными силами - 20 Производство химических веществ и химических продуктов**</t>
  </si>
  <si>
    <t>Темп роста отгрузки - 20 Производство химических веществ и химических продуктов**</t>
  </si>
  <si>
    <t>тыс.шт.</t>
  </si>
  <si>
    <t>Основные показатели, представляемые для разработки предварительного прогноза социально-экономического развития муниципального округа (городского округа) Ставропольского края на 2025 год и на плановый период 2026 и 2027 годов</t>
  </si>
  <si>
    <t>-</t>
  </si>
  <si>
    <t xml:space="preserve">рублей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</si>
</sst>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 x14ac:knownFonts="1">
    <font>
      <sz val="10"/>
      <name val="Arial Cyr"/>
      <charset val="204"/>
    </font>
    <font>
      <b/>
      <sz val="14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b/>
      <i/>
      <sz val="14"/>
      <name val="Times New Roman"/>
      <family val="1"/>
      <charset val="204"/>
    </font>
    <font>
      <i/>
      <sz val="14"/>
      <name val="Times New Roman"/>
      <family val="1"/>
      <charset val="204"/>
    </font>
    <font>
      <sz val="10"/>
      <name val="Times New Roman"/>
      <family val="1"/>
      <charset val="204"/>
    </font>
    <font>
      <sz val="25"/>
      <name val="Times New Roman"/>
      <family val="1"/>
      <charset val="204"/>
    </font>
    <font>
      <b/>
      <sz val="25"/>
      <name val="Times New Roman"/>
      <family val="1"/>
      <charset val="204"/>
    </font>
    <font>
      <sz val="22"/>
      <name val="Times New Roman"/>
      <family val="1"/>
      <charset val="204"/>
    </font>
    <font>
      <sz val="10"/>
      <name val="Arial Cyr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2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4"/>
      <color rgb="FFFF0000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0" fillId="0" borderId="0"/>
  </cellStyleXfs>
  <cellXfs count="169">
    <xf numFmtId="0" fontId="0" fillId="0" borderId="0" xfId="0"/>
    <xf numFmtId="0" fontId="2" fillId="0" borderId="1" xfId="0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 applyProtection="1">
      <alignment horizontal="left" vertical="center" wrapText="1" shrinkToFi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wrapText="1"/>
    </xf>
    <xf numFmtId="0" fontId="0" fillId="0" borderId="0" xfId="0" applyAlignment="1">
      <alignment wrapText="1"/>
    </xf>
    <xf numFmtId="0" fontId="3" fillId="0" borderId="0" xfId="0" applyFont="1" applyFill="1"/>
    <xf numFmtId="0" fontId="3" fillId="0" borderId="0" xfId="0" applyFont="1" applyFill="1" applyAlignment="1">
      <alignment wrapText="1"/>
    </xf>
    <xf numFmtId="0" fontId="6" fillId="0" borderId="0" xfId="0" applyFont="1" applyFill="1"/>
    <xf numFmtId="0" fontId="6" fillId="0" borderId="0" xfId="0" applyFont="1" applyFill="1" applyAlignment="1">
      <alignment wrapText="1"/>
    </xf>
    <xf numFmtId="0" fontId="7" fillId="0" borderId="0" xfId="0" applyFont="1"/>
    <xf numFmtId="0" fontId="7" fillId="0" borderId="0" xfId="0" applyFont="1" applyAlignment="1">
      <alignment wrapText="1"/>
    </xf>
    <xf numFmtId="0" fontId="7" fillId="0" borderId="0" xfId="0" applyFont="1" applyFill="1" applyAlignment="1">
      <alignment horizontal="center"/>
    </xf>
    <xf numFmtId="0" fontId="3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vertical="center" wrapText="1" shrinkToFit="1"/>
    </xf>
    <xf numFmtId="0" fontId="2" fillId="0" borderId="1" xfId="0" applyFont="1" applyFill="1" applyBorder="1" applyAlignment="1">
      <alignment horizontal="center" vertical="center" wrapText="1" shrinkToFit="1"/>
    </xf>
    <xf numFmtId="0" fontId="1" fillId="0" borderId="5" xfId="0" applyFont="1" applyFill="1" applyBorder="1" applyAlignment="1" applyProtection="1">
      <alignment horizontal="left" vertical="center" wrapText="1" shrinkToFit="1"/>
    </xf>
    <xf numFmtId="0" fontId="1" fillId="0" borderId="6" xfId="0" applyFont="1" applyFill="1" applyBorder="1" applyAlignment="1" applyProtection="1">
      <alignment horizontal="left" vertical="center" wrapText="1" shrinkToFi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0" xfId="0" applyBorder="1"/>
    <xf numFmtId="0" fontId="3" fillId="0" borderId="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center" wrapText="1" shrinkToFit="1"/>
    </xf>
    <xf numFmtId="0" fontId="1" fillId="0" borderId="0" xfId="0" applyFont="1" applyFill="1" applyBorder="1" applyAlignment="1" applyProtection="1">
      <alignment horizontal="left" vertical="center" wrapText="1" shrinkToFit="1"/>
    </xf>
    <xf numFmtId="0" fontId="2" fillId="0" borderId="0" xfId="0" applyFont="1" applyFill="1" applyBorder="1" applyAlignment="1" applyProtection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 shrinkToFit="1"/>
    </xf>
    <xf numFmtId="0" fontId="2" fillId="0" borderId="0" xfId="0" applyFont="1" applyFill="1" applyBorder="1" applyAlignment="1" applyProtection="1">
      <alignment horizontal="left" vertical="center" wrapText="1" shrinkToFit="1"/>
    </xf>
    <xf numFmtId="0" fontId="3" fillId="0" borderId="0" xfId="0" applyFont="1" applyFill="1" applyBorder="1" applyAlignment="1" applyProtection="1">
      <alignment horizontal="center" vertical="center" wrapText="1"/>
    </xf>
    <xf numFmtId="0" fontId="4" fillId="0" borderId="0" xfId="0" applyFont="1" applyFill="1" applyBorder="1" applyAlignment="1" applyProtection="1">
      <alignment vertical="center" wrapText="1" shrinkToFit="1"/>
    </xf>
    <xf numFmtId="0" fontId="3" fillId="0" borderId="0" xfId="0" applyFont="1" applyFill="1" applyBorder="1" applyAlignment="1">
      <alignment horizontal="left" vertical="center" wrapText="1" shrinkToFit="1"/>
    </xf>
    <xf numFmtId="0" fontId="3" fillId="0" borderId="0" xfId="0" applyFont="1" applyFill="1" applyBorder="1" applyAlignment="1" applyProtection="1">
      <alignment horizontal="left" vertical="center" wrapText="1" shrinkToFit="1"/>
    </xf>
    <xf numFmtId="0" fontId="3" fillId="0" borderId="0" xfId="0" applyFont="1" applyFill="1" applyBorder="1" applyAlignment="1">
      <alignment wrapText="1"/>
    </xf>
    <xf numFmtId="0" fontId="0" fillId="0" borderId="8" xfId="0" applyBorder="1"/>
    <xf numFmtId="0" fontId="3" fillId="0" borderId="8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 applyProtection="1">
      <alignment horizontal="left" vertical="center" wrapText="1" shrinkToFit="1"/>
    </xf>
    <xf numFmtId="0" fontId="1" fillId="0" borderId="8" xfId="0" applyFont="1" applyFill="1" applyBorder="1" applyAlignment="1" applyProtection="1">
      <alignment horizontal="left" vertical="center" wrapText="1" shrinkToFit="1"/>
    </xf>
    <xf numFmtId="0" fontId="2" fillId="0" borderId="8" xfId="0" applyFont="1" applyFill="1" applyBorder="1" applyAlignment="1" applyProtection="1">
      <alignment horizontal="center" vertical="center" wrapText="1"/>
    </xf>
    <xf numFmtId="0" fontId="3" fillId="0" borderId="8" xfId="0" applyFont="1" applyFill="1" applyBorder="1" applyAlignment="1" applyProtection="1">
      <alignment horizontal="center" vertical="center" wrapText="1"/>
    </xf>
    <xf numFmtId="0" fontId="3" fillId="0" borderId="8" xfId="0" applyFont="1" applyFill="1" applyBorder="1" applyAlignment="1">
      <alignment wrapText="1"/>
    </xf>
    <xf numFmtId="0" fontId="3" fillId="0" borderId="8" xfId="0" applyFont="1" applyFill="1" applyBorder="1" applyAlignment="1">
      <alignment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6" fillId="2" borderId="0" xfId="0" applyFont="1" applyFill="1"/>
    <xf numFmtId="0" fontId="7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2" fillId="0" borderId="9" xfId="0" applyFont="1" applyFill="1" applyBorder="1" applyAlignment="1" applyProtection="1">
      <alignment horizontal="left" vertical="center" wrapText="1" shrinkToFit="1"/>
    </xf>
    <xf numFmtId="0" fontId="2" fillId="0" borderId="9" xfId="0" applyFont="1" applyFill="1" applyBorder="1" applyAlignment="1" applyProtection="1">
      <alignment horizontal="center" vertical="center" wrapText="1"/>
    </xf>
    <xf numFmtId="0" fontId="3" fillId="0" borderId="9" xfId="0" applyFont="1" applyFill="1" applyBorder="1" applyAlignment="1">
      <alignment wrapText="1"/>
    </xf>
    <xf numFmtId="0" fontId="3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3" fillId="0" borderId="0" xfId="0" applyFont="1" applyFill="1" applyAlignment="1"/>
    <xf numFmtId="0" fontId="3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 applyProtection="1">
      <alignment horizontal="left" vertical="center" wrapText="1" shrinkToFit="1"/>
    </xf>
    <xf numFmtId="0" fontId="3" fillId="3" borderId="4" xfId="0" applyFont="1" applyFill="1" applyBorder="1" applyAlignment="1" applyProtection="1">
      <alignment horizontal="left" vertical="center" wrapText="1" shrinkToFit="1"/>
    </xf>
    <xf numFmtId="0" fontId="2" fillId="3" borderId="1" xfId="0" applyFont="1" applyFill="1" applyBorder="1" applyAlignment="1" applyProtection="1">
      <alignment horizontal="left" vertical="center" wrapText="1" shrinkToFit="1"/>
    </xf>
    <xf numFmtId="0" fontId="2" fillId="3" borderId="1" xfId="0" applyFont="1" applyFill="1" applyBorder="1" applyAlignment="1">
      <alignment horizontal="left" vertical="center" wrapText="1" shrinkToFit="1"/>
    </xf>
    <xf numFmtId="0" fontId="3" fillId="3" borderId="1" xfId="0" applyFont="1" applyFill="1" applyBorder="1" applyAlignment="1">
      <alignment horizontal="left" vertical="center" wrapText="1" shrinkToFit="1"/>
    </xf>
    <xf numFmtId="0" fontId="5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 applyProtection="1">
      <alignment vertical="center" wrapText="1" shrinkToFit="1"/>
    </xf>
    <xf numFmtId="0" fontId="3" fillId="3" borderId="1" xfId="0" applyFont="1" applyFill="1" applyBorder="1" applyAlignment="1">
      <alignment horizontal="left" vertical="center" wrapText="1" indent="3"/>
    </xf>
    <xf numFmtId="0" fontId="3" fillId="4" borderId="1" xfId="0" applyFont="1" applyFill="1" applyBorder="1" applyAlignment="1">
      <alignment horizontal="center" vertical="center" wrapText="1"/>
    </xf>
    <xf numFmtId="2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2" fontId="2" fillId="0" borderId="4" xfId="0" applyNumberFormat="1" applyFont="1" applyFill="1" applyBorder="1" applyAlignment="1" applyProtection="1">
      <alignment horizontal="center" vertical="center" wrapText="1" shrinkToFit="1"/>
    </xf>
    <xf numFmtId="0" fontId="2" fillId="0" borderId="1" xfId="0" applyFont="1" applyFill="1" applyBorder="1" applyAlignment="1" applyProtection="1">
      <alignment horizontal="center" vertical="center" wrapText="1" shrinkToFit="1"/>
    </xf>
    <xf numFmtId="2" fontId="2" fillId="0" borderId="1" xfId="0" applyNumberFormat="1" applyFont="1" applyFill="1" applyBorder="1" applyAlignment="1">
      <alignment horizontal="center" vertical="center" wrapText="1" shrinkToFit="1"/>
    </xf>
    <xf numFmtId="2" fontId="2" fillId="0" borderId="1" xfId="0" applyNumberFormat="1" applyFont="1" applyFill="1" applyBorder="1" applyAlignment="1" applyProtection="1">
      <alignment horizontal="center" vertical="center" wrapText="1"/>
    </xf>
    <xf numFmtId="2" fontId="2" fillId="0" borderId="1" xfId="0" applyNumberFormat="1" applyFont="1" applyFill="1" applyBorder="1" applyAlignment="1" applyProtection="1">
      <alignment horizontal="center" vertical="center" wrapText="1" shrinkToFit="1"/>
    </xf>
    <xf numFmtId="0" fontId="3" fillId="0" borderId="1" xfId="0" applyFont="1" applyFill="1" applyBorder="1" applyAlignment="1">
      <alignment horizontal="center" vertical="center" wrapText="1" shrinkToFit="1"/>
    </xf>
    <xf numFmtId="2" fontId="3" fillId="0" borderId="1" xfId="0" applyNumberFormat="1" applyFont="1" applyFill="1" applyBorder="1" applyAlignment="1">
      <alignment horizontal="center" vertical="center" wrapText="1" shrinkToFit="1"/>
    </xf>
    <xf numFmtId="2" fontId="3" fillId="0" borderId="1" xfId="0" applyNumberFormat="1" applyFont="1" applyFill="1" applyBorder="1" applyAlignment="1" applyProtection="1">
      <alignment horizontal="center" vertical="center" wrapText="1"/>
    </xf>
    <xf numFmtId="2" fontId="3" fillId="0" borderId="1" xfId="0" applyNumberFormat="1" applyFont="1" applyFill="1" applyBorder="1" applyAlignment="1" applyProtection="1">
      <alignment horizontal="center" vertical="center" wrapText="1" shrinkToFit="1"/>
    </xf>
    <xf numFmtId="0" fontId="13" fillId="4" borderId="1" xfId="0" applyFont="1" applyFill="1" applyBorder="1" applyAlignment="1">
      <alignment horizontal="center" vertical="center" wrapText="1"/>
    </xf>
    <xf numFmtId="2" fontId="13" fillId="4" borderId="1" xfId="0" applyNumberFormat="1" applyFont="1" applyFill="1" applyBorder="1" applyAlignment="1">
      <alignment horizontal="center" vertical="center" wrapText="1"/>
    </xf>
    <xf numFmtId="0" fontId="1" fillId="0" borderId="6" xfId="0" applyFont="1" applyFill="1" applyBorder="1" applyAlignment="1" applyProtection="1">
      <alignment horizontal="center" vertical="center" wrapText="1" shrinkToFit="1"/>
    </xf>
    <xf numFmtId="0" fontId="7" fillId="5" borderId="0" xfId="0" applyFont="1" applyFill="1"/>
    <xf numFmtId="0" fontId="0" fillId="5" borderId="0" xfId="0" applyFill="1"/>
    <xf numFmtId="0" fontId="3" fillId="5" borderId="9" xfId="0" applyFont="1" applyFill="1" applyBorder="1" applyAlignment="1">
      <alignment wrapText="1"/>
    </xf>
    <xf numFmtId="0" fontId="6" fillId="5" borderId="0" xfId="0" applyFont="1" applyFill="1"/>
    <xf numFmtId="0" fontId="8" fillId="5" borderId="0" xfId="0" applyFont="1" applyFill="1" applyAlignment="1">
      <alignment horizontal="center" vertical="center"/>
    </xf>
    <xf numFmtId="0" fontId="9" fillId="5" borderId="0" xfId="0" applyFont="1" applyFill="1" applyAlignment="1">
      <alignment horizontal="right" vertical="center"/>
    </xf>
    <xf numFmtId="0" fontId="1" fillId="4" borderId="9" xfId="0" applyFont="1" applyFill="1" applyBorder="1" applyAlignment="1" applyProtection="1">
      <alignment horizontal="left" vertical="center" wrapText="1" shrinkToFit="1"/>
    </xf>
    <xf numFmtId="164" fontId="3" fillId="0" borderId="1" xfId="0" applyNumberFormat="1" applyFont="1" applyFill="1" applyBorder="1" applyAlignment="1">
      <alignment horizontal="center" vertical="center" wrapText="1"/>
    </xf>
    <xf numFmtId="2" fontId="3" fillId="0" borderId="4" xfId="0" applyNumberFormat="1" applyFont="1" applyFill="1" applyBorder="1" applyAlignment="1">
      <alignment horizontal="center" vertical="center" wrapText="1"/>
    </xf>
    <xf numFmtId="0" fontId="0" fillId="2" borderId="0" xfId="0" applyFill="1"/>
    <xf numFmtId="0" fontId="7" fillId="2" borderId="0" xfId="0" applyFont="1" applyFill="1"/>
    <xf numFmtId="0" fontId="3" fillId="2" borderId="1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wrapText="1"/>
    </xf>
    <xf numFmtId="0" fontId="6" fillId="2" borderId="0" xfId="0" applyFont="1" applyFill="1" applyAlignment="1">
      <alignment wrapText="1"/>
    </xf>
    <xf numFmtId="2" fontId="3" fillId="4" borderId="1" xfId="0" applyNumberFormat="1" applyFont="1" applyFill="1" applyBorder="1" applyAlignment="1">
      <alignment horizontal="center" vertical="center" wrapText="1"/>
    </xf>
    <xf numFmtId="164" fontId="3" fillId="4" borderId="1" xfId="0" applyNumberFormat="1" applyFont="1" applyFill="1" applyBorder="1" applyAlignment="1">
      <alignment horizontal="center" vertical="center" wrapText="1"/>
    </xf>
    <xf numFmtId="0" fontId="6" fillId="4" borderId="0" xfId="0" applyFont="1" applyFill="1" applyAlignment="1">
      <alignment wrapText="1"/>
    </xf>
    <xf numFmtId="164" fontId="2" fillId="0" borderId="4" xfId="0" applyNumberFormat="1" applyFont="1" applyFill="1" applyBorder="1" applyAlignment="1" applyProtection="1">
      <alignment horizontal="center" vertical="center" wrapText="1" shrinkToFit="1"/>
    </xf>
    <xf numFmtId="0" fontId="3" fillId="6" borderId="0" xfId="0" applyFont="1" applyFill="1" applyBorder="1" applyAlignment="1">
      <alignment wrapText="1"/>
    </xf>
    <xf numFmtId="0" fontId="6" fillId="6" borderId="0" xfId="0" applyFont="1" applyFill="1"/>
    <xf numFmtId="0" fontId="1" fillId="6" borderId="8" xfId="0" applyFont="1" applyFill="1" applyBorder="1" applyAlignment="1" applyProtection="1">
      <alignment horizontal="left" vertical="center" wrapText="1" shrinkToFit="1"/>
    </xf>
    <xf numFmtId="0" fontId="1" fillId="6" borderId="0" xfId="0" applyFont="1" applyFill="1" applyBorder="1" applyAlignment="1" applyProtection="1">
      <alignment horizontal="left" vertical="center" wrapText="1" shrinkToFit="1"/>
    </xf>
    <xf numFmtId="0" fontId="3" fillId="7" borderId="0" xfId="0" applyFont="1" applyFill="1" applyBorder="1" applyAlignment="1">
      <alignment wrapText="1"/>
    </xf>
    <xf numFmtId="0" fontId="6" fillId="7" borderId="0" xfId="0" applyFont="1" applyFill="1"/>
    <xf numFmtId="0" fontId="3" fillId="4" borderId="1" xfId="0" applyNumberFormat="1" applyFont="1" applyFill="1" applyBorder="1" applyAlignment="1">
      <alignment horizontal="center" vertical="center" wrapText="1"/>
    </xf>
    <xf numFmtId="0" fontId="1" fillId="7" borderId="8" xfId="0" applyFont="1" applyFill="1" applyBorder="1" applyAlignment="1" applyProtection="1">
      <alignment horizontal="left" vertical="center" wrapText="1" shrinkToFit="1"/>
    </xf>
    <xf numFmtId="0" fontId="1" fillId="7" borderId="0" xfId="0" applyFont="1" applyFill="1" applyBorder="1" applyAlignment="1" applyProtection="1">
      <alignment horizontal="left" vertical="center" wrapText="1" shrinkToFit="1"/>
    </xf>
    <xf numFmtId="0" fontId="1" fillId="4" borderId="6" xfId="0" applyFont="1" applyFill="1" applyBorder="1" applyAlignment="1" applyProtection="1">
      <alignment horizontal="left" vertical="center" wrapText="1" shrinkToFit="1"/>
    </xf>
    <xf numFmtId="0" fontId="2" fillId="4" borderId="1" xfId="0" applyFont="1" applyFill="1" applyBorder="1" applyAlignment="1" applyProtection="1">
      <alignment horizontal="center" vertical="center" wrapText="1"/>
    </xf>
    <xf numFmtId="0" fontId="3" fillId="6" borderId="8" xfId="0" applyFont="1" applyFill="1" applyBorder="1" applyAlignment="1">
      <alignment horizontal="center" vertical="center" wrapText="1"/>
    </xf>
    <xf numFmtId="0" fontId="3" fillId="6" borderId="0" xfId="0" applyFont="1" applyFill="1" applyBorder="1" applyAlignment="1">
      <alignment horizontal="center" vertical="center" wrapText="1"/>
    </xf>
    <xf numFmtId="0" fontId="1" fillId="4" borderId="10" xfId="0" applyFont="1" applyFill="1" applyBorder="1" applyAlignment="1" applyProtection="1">
      <alignment horizontal="left" vertical="center" wrapText="1" shrinkToFit="1"/>
    </xf>
    <xf numFmtId="2" fontId="1" fillId="0" borderId="8" xfId="0" applyNumberFormat="1" applyFont="1" applyFill="1" applyBorder="1" applyAlignment="1" applyProtection="1">
      <alignment horizontal="left" vertical="center" wrapText="1" shrinkToFit="1"/>
    </xf>
    <xf numFmtId="2" fontId="1" fillId="0" borderId="0" xfId="0" applyNumberFormat="1" applyFont="1" applyFill="1" applyBorder="1" applyAlignment="1" applyProtection="1">
      <alignment horizontal="left" vertical="center" wrapText="1" shrinkToFit="1"/>
    </xf>
    <xf numFmtId="2" fontId="15" fillId="0" borderId="8" xfId="0" applyNumberFormat="1" applyFont="1" applyFill="1" applyBorder="1" applyAlignment="1">
      <alignment horizontal="center" vertical="center" wrapText="1"/>
    </xf>
    <xf numFmtId="2" fontId="15" fillId="0" borderId="0" xfId="0" applyNumberFormat="1" applyFont="1" applyFill="1" applyBorder="1" applyAlignment="1">
      <alignment horizontal="center" vertical="center" wrapText="1"/>
    </xf>
    <xf numFmtId="0" fontId="15" fillId="6" borderId="8" xfId="0" applyFont="1" applyFill="1" applyBorder="1" applyAlignment="1">
      <alignment horizontal="center" vertical="center" wrapText="1"/>
    </xf>
    <xf numFmtId="0" fontId="15" fillId="6" borderId="0" xfId="0" applyFont="1" applyFill="1" applyBorder="1" applyAlignment="1">
      <alignment horizontal="center" vertical="center" wrapText="1"/>
    </xf>
    <xf numFmtId="0" fontId="15" fillId="0" borderId="8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16" fillId="0" borderId="8" xfId="0" applyFont="1" applyFill="1" applyBorder="1" applyAlignment="1">
      <alignment wrapText="1"/>
    </xf>
    <xf numFmtId="0" fontId="16" fillId="0" borderId="0" xfId="0" applyFont="1" applyFill="1" applyBorder="1" applyAlignment="1">
      <alignment wrapText="1"/>
    </xf>
    <xf numFmtId="0" fontId="14" fillId="0" borderId="8" xfId="0" applyFont="1" applyFill="1" applyBorder="1" applyAlignment="1">
      <alignment wrapText="1"/>
    </xf>
    <xf numFmtId="0" fontId="14" fillId="0" borderId="0" xfId="0" applyFont="1" applyFill="1" applyBorder="1" applyAlignment="1">
      <alignment wrapText="1"/>
    </xf>
    <xf numFmtId="10" fontId="3" fillId="0" borderId="0" xfId="0" applyNumberFormat="1" applyFont="1" applyFill="1" applyBorder="1" applyAlignment="1">
      <alignment wrapText="1"/>
    </xf>
    <xf numFmtId="0" fontId="9" fillId="0" borderId="0" xfId="0" applyFont="1" applyFill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0" fillId="4" borderId="6" xfId="0" applyFill="1" applyBorder="1"/>
    <xf numFmtId="2" fontId="2" fillId="4" borderId="1" xfId="0" applyNumberFormat="1" applyFont="1" applyFill="1" applyBorder="1" applyAlignment="1" applyProtection="1">
      <alignment horizontal="center" vertical="center" wrapText="1" shrinkToFit="1"/>
    </xf>
    <xf numFmtId="2" fontId="2" fillId="4" borderId="4" xfId="0" applyNumberFormat="1" applyFont="1" applyFill="1" applyBorder="1" applyAlignment="1" applyProtection="1">
      <alignment horizontal="center" vertical="center" wrapText="1" shrinkToFit="1"/>
    </xf>
    <xf numFmtId="2" fontId="3" fillId="4" borderId="4" xfId="0" applyNumberFormat="1" applyFont="1" applyFill="1" applyBorder="1" applyAlignment="1">
      <alignment horizontal="center" vertical="center" wrapText="1"/>
    </xf>
    <xf numFmtId="2" fontId="2" fillId="4" borderId="1" xfId="0" applyNumberFormat="1" applyFont="1" applyFill="1" applyBorder="1" applyAlignment="1">
      <alignment horizontal="center" vertical="center" wrapText="1" shrinkToFit="1"/>
    </xf>
    <xf numFmtId="0" fontId="4" fillId="4" borderId="1" xfId="0" applyFont="1" applyFill="1" applyBorder="1" applyAlignment="1" applyProtection="1">
      <alignment vertical="center" wrapText="1" shrinkToFit="1"/>
    </xf>
    <xf numFmtId="2" fontId="3" fillId="4" borderId="1" xfId="0" applyNumberFormat="1" applyFont="1" applyFill="1" applyBorder="1" applyAlignment="1">
      <alignment horizontal="center" vertical="center" wrapText="1" shrinkToFit="1"/>
    </xf>
    <xf numFmtId="2" fontId="3" fillId="4" borderId="1" xfId="0" applyNumberFormat="1" applyFont="1" applyFill="1" applyBorder="1" applyAlignment="1" applyProtection="1">
      <alignment horizontal="center" vertical="center" wrapText="1" shrinkToFit="1"/>
    </xf>
    <xf numFmtId="0" fontId="3" fillId="4" borderId="1" xfId="0" applyFont="1" applyFill="1" applyBorder="1" applyAlignment="1">
      <alignment wrapText="1"/>
    </xf>
    <xf numFmtId="0" fontId="0" fillId="4" borderId="0" xfId="0" applyFill="1"/>
    <xf numFmtId="0" fontId="3" fillId="4" borderId="5" xfId="0" applyFont="1" applyFill="1" applyBorder="1" applyAlignment="1">
      <alignment horizontal="center" vertical="center" wrapText="1"/>
    </xf>
    <xf numFmtId="2" fontId="3" fillId="4" borderId="5" xfId="0" applyNumberFormat="1" applyFont="1" applyFill="1" applyBorder="1" applyAlignment="1">
      <alignment horizontal="center" vertical="center" wrapText="1"/>
    </xf>
    <xf numFmtId="164" fontId="3" fillId="4" borderId="5" xfId="0" applyNumberFormat="1" applyFont="1" applyFill="1" applyBorder="1" applyAlignment="1">
      <alignment horizontal="center" vertical="center" wrapText="1"/>
    </xf>
    <xf numFmtId="0" fontId="3" fillId="4" borderId="5" xfId="0" applyNumberFormat="1" applyFont="1" applyFill="1" applyBorder="1" applyAlignment="1">
      <alignment horizontal="center" vertical="center" wrapText="1"/>
    </xf>
    <xf numFmtId="2" fontId="2" fillId="4" borderId="11" xfId="0" applyNumberFormat="1" applyFont="1" applyFill="1" applyBorder="1" applyAlignment="1" applyProtection="1">
      <alignment horizontal="center" vertical="center" wrapText="1" shrinkToFit="1"/>
    </xf>
    <xf numFmtId="2" fontId="3" fillId="4" borderId="11" xfId="0" applyNumberFormat="1" applyFont="1" applyFill="1" applyBorder="1" applyAlignment="1">
      <alignment horizontal="center" vertical="center" wrapText="1"/>
    </xf>
    <xf numFmtId="2" fontId="2" fillId="4" borderId="5" xfId="0" applyNumberFormat="1" applyFont="1" applyFill="1" applyBorder="1" applyAlignment="1">
      <alignment horizontal="center" vertical="center" wrapText="1" shrinkToFit="1"/>
    </xf>
    <xf numFmtId="2" fontId="2" fillId="4" borderId="5" xfId="0" applyNumberFormat="1" applyFont="1" applyFill="1" applyBorder="1" applyAlignment="1" applyProtection="1">
      <alignment horizontal="center" vertical="center" wrapText="1" shrinkToFit="1"/>
    </xf>
    <xf numFmtId="0" fontId="4" fillId="4" borderId="5" xfId="0" applyFont="1" applyFill="1" applyBorder="1" applyAlignment="1" applyProtection="1">
      <alignment vertical="center" wrapText="1" shrinkToFit="1"/>
    </xf>
    <xf numFmtId="2" fontId="3" fillId="4" borderId="5" xfId="0" applyNumberFormat="1" applyFont="1" applyFill="1" applyBorder="1" applyAlignment="1">
      <alignment horizontal="center" vertical="center" wrapText="1" shrinkToFit="1"/>
    </xf>
    <xf numFmtId="2" fontId="3" fillId="4" borderId="5" xfId="0" applyNumberFormat="1" applyFont="1" applyFill="1" applyBorder="1" applyAlignment="1" applyProtection="1">
      <alignment horizontal="center" vertical="center" wrapText="1" shrinkToFit="1"/>
    </xf>
    <xf numFmtId="0" fontId="3" fillId="4" borderId="5" xfId="0" applyFont="1" applyFill="1" applyBorder="1" applyAlignment="1">
      <alignment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2" fontId="3" fillId="4" borderId="1" xfId="0" applyNumberFormat="1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 wrapText="1"/>
    </xf>
    <xf numFmtId="2" fontId="2" fillId="4" borderId="1" xfId="0" applyNumberFormat="1" applyFont="1" applyFill="1" applyBorder="1" applyAlignment="1" applyProtection="1">
      <alignment horizontal="center" vertical="center" wrapText="1"/>
    </xf>
    <xf numFmtId="0" fontId="3" fillId="4" borderId="1" xfId="0" applyFont="1" applyFill="1" applyBorder="1" applyAlignment="1" applyProtection="1">
      <alignment horizontal="center" vertical="center" wrapText="1"/>
    </xf>
    <xf numFmtId="2" fontId="3" fillId="4" borderId="1" xfId="0" applyNumberFormat="1" applyFont="1" applyFill="1" applyBorder="1" applyAlignment="1" applyProtection="1">
      <alignment horizontal="center" vertical="center" wrapText="1"/>
    </xf>
    <xf numFmtId="0" fontId="1" fillId="4" borderId="5" xfId="0" applyFont="1" applyFill="1" applyBorder="1" applyAlignment="1" applyProtection="1">
      <alignment horizontal="left" vertical="center" wrapText="1" shrinkToFit="1"/>
    </xf>
    <xf numFmtId="0" fontId="1" fillId="4" borderId="6" xfId="0" applyNumberFormat="1" applyFont="1" applyFill="1" applyBorder="1" applyAlignment="1" applyProtection="1">
      <alignment horizontal="center" vertical="center" wrapText="1" shrinkToFit="1"/>
    </xf>
    <xf numFmtId="49" fontId="1" fillId="4" borderId="5" xfId="0" applyNumberFormat="1" applyFont="1" applyFill="1" applyBorder="1" applyAlignment="1" applyProtection="1">
      <alignment horizontal="left" vertical="center" wrapText="1" shrinkToFit="1"/>
    </xf>
    <xf numFmtId="49" fontId="1" fillId="4" borderId="6" xfId="0" applyNumberFormat="1" applyFont="1" applyFill="1" applyBorder="1" applyAlignment="1" applyProtection="1">
      <alignment horizontal="left" vertical="center" wrapText="1" shrinkToFit="1"/>
    </xf>
    <xf numFmtId="49" fontId="1" fillId="4" borderId="7" xfId="0" applyNumberFormat="1" applyFont="1" applyFill="1" applyBorder="1" applyAlignment="1" applyProtection="1">
      <alignment horizontal="left" vertical="center" wrapText="1" shrinkToFit="1"/>
    </xf>
    <xf numFmtId="2" fontId="3" fillId="4" borderId="9" xfId="0" applyNumberFormat="1" applyFont="1" applyFill="1" applyBorder="1" applyAlignment="1">
      <alignment horizontal="center" vertical="center" wrapText="1"/>
    </xf>
    <xf numFmtId="0" fontId="1" fillId="4" borderId="5" xfId="0" applyFont="1" applyFill="1" applyBorder="1" applyAlignment="1" applyProtection="1">
      <alignment horizontal="left" vertical="center" wrapText="1" shrinkToFit="1"/>
    </xf>
    <xf numFmtId="0" fontId="1" fillId="4" borderId="6" xfId="0" applyFont="1" applyFill="1" applyBorder="1" applyAlignment="1" applyProtection="1">
      <alignment horizontal="left" vertical="center" wrapText="1" shrinkToFit="1"/>
    </xf>
    <xf numFmtId="0" fontId="6" fillId="4" borderId="0" xfId="0" applyFont="1" applyFill="1"/>
  </cellXfs>
  <cellStyles count="2">
    <cellStyle name="Обычный" xfId="0" builtinId="0"/>
    <cellStyle name="Обычный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200"/>
  <sheetViews>
    <sheetView tabSelected="1" view="pageBreakPreview" topLeftCell="A118" zoomScale="70" zoomScaleNormal="70" zoomScaleSheetLayoutView="70" workbookViewId="0">
      <selection activeCell="C168" sqref="C168"/>
    </sheetView>
  </sheetViews>
  <sheetFormatPr defaultRowHeight="12.75" x14ac:dyDescent="0.2"/>
  <cols>
    <col min="1" max="1" width="47.5703125" customWidth="1"/>
    <col min="2" max="2" width="24.28515625" style="5" customWidth="1"/>
    <col min="3" max="3" width="20.28515625" customWidth="1"/>
    <col min="4" max="4" width="20.28515625" style="86" customWidth="1"/>
    <col min="5" max="5" width="20.28515625" customWidth="1"/>
    <col min="6" max="6" width="21.42578125" customWidth="1"/>
    <col min="7" max="7" width="21.42578125" style="78" customWidth="1"/>
    <col min="8" max="8" width="21.42578125" customWidth="1"/>
    <col min="9" max="9" width="21.42578125" style="78" customWidth="1"/>
    <col min="10" max="10" width="21.42578125" customWidth="1"/>
    <col min="11" max="11" width="21.42578125" style="78" customWidth="1"/>
    <col min="12" max="14" width="11" customWidth="1"/>
    <col min="15" max="15" width="11.7109375" customWidth="1"/>
    <col min="16" max="16" width="11" customWidth="1"/>
    <col min="17" max="17" width="10" customWidth="1"/>
    <col min="18" max="18" width="10.85546875" customWidth="1"/>
    <col min="19" max="19" width="11" customWidth="1"/>
    <col min="20" max="20" width="10.140625" customWidth="1"/>
    <col min="21" max="21" width="18.28515625" customWidth="1"/>
  </cols>
  <sheetData>
    <row r="1" spans="1:20" ht="6.75" hidden="1" customHeight="1" x14ac:dyDescent="0.2">
      <c r="G1" s="122" t="s">
        <v>150</v>
      </c>
      <c r="H1" s="122"/>
      <c r="I1" s="122"/>
      <c r="J1" s="122"/>
      <c r="K1" s="122"/>
    </row>
    <row r="2" spans="1:20" ht="22.5" hidden="1" customHeight="1" x14ac:dyDescent="0.2">
      <c r="G2" s="122"/>
      <c r="H2" s="122"/>
      <c r="I2" s="122"/>
      <c r="J2" s="122"/>
      <c r="K2" s="122"/>
    </row>
    <row r="3" spans="1:20" ht="41.25" hidden="1" customHeight="1" x14ac:dyDescent="0.2">
      <c r="G3" s="122"/>
      <c r="H3" s="122"/>
      <c r="I3" s="122"/>
      <c r="J3" s="122"/>
      <c r="K3" s="122"/>
    </row>
    <row r="4" spans="1:20" s="10" customFormat="1" ht="31.5" hidden="1" x14ac:dyDescent="0.45">
      <c r="B4" s="11"/>
      <c r="D4" s="87"/>
      <c r="G4" s="77"/>
      <c r="H4" s="12"/>
      <c r="I4" s="81"/>
      <c r="J4" s="44"/>
      <c r="K4" s="82" t="s">
        <v>61</v>
      </c>
      <c r="L4" s="12"/>
      <c r="M4" s="43"/>
      <c r="N4" s="43"/>
      <c r="O4" s="43"/>
      <c r="P4" s="43"/>
      <c r="Q4" s="43"/>
      <c r="R4" s="43"/>
      <c r="S4" s="43"/>
      <c r="T4" s="43"/>
    </row>
    <row r="5" spans="1:20" s="10" customFormat="1" ht="31.5" hidden="1" x14ac:dyDescent="0.45">
      <c r="B5" s="11"/>
      <c r="D5" s="87"/>
      <c r="G5" s="77"/>
      <c r="I5" s="77"/>
      <c r="K5" s="77"/>
    </row>
    <row r="6" spans="1:20" s="10" customFormat="1" ht="66" customHeight="1" x14ac:dyDescent="0.45">
      <c r="A6" s="123" t="s">
        <v>217</v>
      </c>
      <c r="B6" s="123"/>
      <c r="C6" s="123"/>
      <c r="D6" s="123"/>
      <c r="E6" s="123"/>
      <c r="F6" s="123"/>
      <c r="G6" s="123"/>
      <c r="H6" s="123"/>
      <c r="I6" s="123"/>
      <c r="J6" s="123"/>
      <c r="K6" s="123"/>
      <c r="L6" s="11"/>
      <c r="M6" s="11"/>
      <c r="N6" s="11"/>
      <c r="O6" s="11"/>
      <c r="P6" s="11"/>
      <c r="Q6" s="11"/>
      <c r="R6" s="11"/>
      <c r="S6" s="11"/>
      <c r="T6" s="11"/>
    </row>
    <row r="7" spans="1:20" ht="2.25" customHeight="1" x14ac:dyDescent="0.2">
      <c r="G7" s="139"/>
      <c r="I7" s="139"/>
      <c r="K7" s="139"/>
    </row>
    <row r="8" spans="1:20" s="8" customFormat="1" ht="37.5" x14ac:dyDescent="0.2">
      <c r="A8" s="127" t="s">
        <v>40</v>
      </c>
      <c r="B8" s="127" t="s">
        <v>41</v>
      </c>
      <c r="C8" s="19" t="s">
        <v>153</v>
      </c>
      <c r="D8" s="61" t="s">
        <v>153</v>
      </c>
      <c r="E8" s="19" t="s">
        <v>154</v>
      </c>
      <c r="F8" s="124" t="s">
        <v>155</v>
      </c>
      <c r="G8" s="125"/>
      <c r="H8" s="125"/>
      <c r="I8" s="125"/>
      <c r="J8" s="125"/>
      <c r="K8" s="126"/>
      <c r="L8" s="39"/>
      <c r="M8" s="13"/>
      <c r="N8" s="13"/>
      <c r="O8" s="13"/>
      <c r="P8" s="13"/>
      <c r="Q8" s="13"/>
      <c r="R8" s="13"/>
      <c r="S8" s="13"/>
      <c r="T8" s="13"/>
    </row>
    <row r="9" spans="1:20" s="8" customFormat="1" ht="18.75" x14ac:dyDescent="0.2">
      <c r="A9" s="128"/>
      <c r="B9" s="128"/>
      <c r="C9" s="127">
        <v>2022</v>
      </c>
      <c r="D9" s="152">
        <v>2023</v>
      </c>
      <c r="E9" s="127">
        <v>2024</v>
      </c>
      <c r="F9" s="124">
        <v>2025</v>
      </c>
      <c r="G9" s="126"/>
      <c r="H9" s="124">
        <v>2026</v>
      </c>
      <c r="I9" s="126"/>
      <c r="J9" s="124">
        <v>2027</v>
      </c>
      <c r="K9" s="125"/>
      <c r="L9" s="32"/>
      <c r="M9" s="20"/>
      <c r="N9" s="20"/>
      <c r="O9" s="20"/>
      <c r="P9" s="20"/>
      <c r="Q9" s="20"/>
      <c r="R9" s="20"/>
      <c r="S9" s="20"/>
      <c r="T9" s="20"/>
    </row>
    <row r="10" spans="1:20" s="8" customFormat="1" ht="18.75" x14ac:dyDescent="0.2">
      <c r="A10" s="128"/>
      <c r="B10" s="128"/>
      <c r="C10" s="128"/>
      <c r="D10" s="153"/>
      <c r="E10" s="128"/>
      <c r="F10" s="3" t="s">
        <v>56</v>
      </c>
      <c r="G10" s="61" t="s">
        <v>55</v>
      </c>
      <c r="H10" s="19" t="s">
        <v>56</v>
      </c>
      <c r="I10" s="61" t="s">
        <v>55</v>
      </c>
      <c r="J10" s="19" t="s">
        <v>56</v>
      </c>
      <c r="K10" s="61" t="s">
        <v>55</v>
      </c>
      <c r="L10" s="33"/>
      <c r="M10" s="21"/>
      <c r="N10" s="21"/>
      <c r="O10" s="21"/>
      <c r="P10" s="21"/>
      <c r="Q10" s="21"/>
      <c r="R10" s="21"/>
      <c r="S10" s="21"/>
      <c r="T10" s="21"/>
    </row>
    <row r="11" spans="1:20" s="8" customFormat="1" ht="18.75" x14ac:dyDescent="0.2">
      <c r="A11" s="129"/>
      <c r="B11" s="129"/>
      <c r="C11" s="129"/>
      <c r="D11" s="154"/>
      <c r="E11" s="129"/>
      <c r="F11" s="3" t="s">
        <v>57</v>
      </c>
      <c r="G11" s="61" t="s">
        <v>58</v>
      </c>
      <c r="H11" s="19" t="s">
        <v>57</v>
      </c>
      <c r="I11" s="61" t="s">
        <v>58</v>
      </c>
      <c r="J11" s="19" t="s">
        <v>57</v>
      </c>
      <c r="K11" s="140" t="s">
        <v>58</v>
      </c>
      <c r="L11" s="33"/>
      <c r="M11" s="21"/>
      <c r="N11" s="21"/>
      <c r="O11" s="21"/>
      <c r="P11" s="21"/>
      <c r="Q11" s="21"/>
      <c r="R11" s="21"/>
      <c r="S11" s="21"/>
      <c r="T11" s="21"/>
    </row>
    <row r="12" spans="1:20" s="8" customFormat="1" ht="30" customHeight="1" x14ac:dyDescent="0.2">
      <c r="A12" s="160" t="s">
        <v>77</v>
      </c>
      <c r="B12" s="130"/>
      <c r="C12" s="130"/>
      <c r="D12" s="130"/>
      <c r="E12" s="130"/>
      <c r="F12" s="130"/>
      <c r="G12" s="130"/>
      <c r="H12" s="130"/>
      <c r="I12" s="130"/>
      <c r="J12" s="130"/>
      <c r="K12" s="130"/>
      <c r="L12" s="33"/>
      <c r="M12" s="21"/>
      <c r="N12" s="21"/>
      <c r="O12" s="21"/>
      <c r="P12" s="21"/>
      <c r="Q12" s="21"/>
      <c r="R12" s="21"/>
      <c r="S12" s="21"/>
      <c r="T12" s="21"/>
    </row>
    <row r="13" spans="1:20" s="8" customFormat="1" ht="45.75" customHeight="1" x14ac:dyDescent="0.2">
      <c r="A13" s="51" t="s">
        <v>78</v>
      </c>
      <c r="B13" s="3" t="s">
        <v>21</v>
      </c>
      <c r="C13" s="62">
        <v>134.30000000000001</v>
      </c>
      <c r="D13" s="61">
        <v>133.68</v>
      </c>
      <c r="E13" s="62">
        <f>D13*99.7/100</f>
        <v>133.27896000000001</v>
      </c>
      <c r="F13" s="62">
        <f>E13*99.9/100</f>
        <v>133.14568104000003</v>
      </c>
      <c r="G13" s="91">
        <f>E13*99.93/100</f>
        <v>133.18566472800003</v>
      </c>
      <c r="H13" s="62">
        <f>F13*99.7/100</f>
        <v>132.74624399688003</v>
      </c>
      <c r="I13" s="91">
        <f>G13*99.91/100</f>
        <v>133.06579762974482</v>
      </c>
      <c r="J13" s="62">
        <f>H13*99.71/100</f>
        <v>132.36127988928908</v>
      </c>
      <c r="K13" s="141">
        <f>I13*99.91/100</f>
        <v>132.94603841187805</v>
      </c>
      <c r="L13" s="33"/>
      <c r="M13" s="21"/>
      <c r="N13" s="21"/>
      <c r="O13" s="21"/>
      <c r="P13" s="21"/>
      <c r="Q13" s="21"/>
      <c r="R13" s="21"/>
      <c r="S13" s="21"/>
      <c r="T13" s="21"/>
    </row>
    <row r="14" spans="1:20" s="8" customFormat="1" ht="66" customHeight="1" x14ac:dyDescent="0.2">
      <c r="A14" s="51" t="s">
        <v>79</v>
      </c>
      <c r="B14" s="3" t="s">
        <v>21</v>
      </c>
      <c r="C14" s="62">
        <v>78.41</v>
      </c>
      <c r="D14" s="91">
        <v>79.8</v>
      </c>
      <c r="E14" s="62">
        <f>D14*101.67/100</f>
        <v>81.132660000000001</v>
      </c>
      <c r="F14" s="62">
        <f>E14*96/100</f>
        <v>77.887353600000012</v>
      </c>
      <c r="G14" s="91">
        <f>E14*99/100</f>
        <v>80.3213334</v>
      </c>
      <c r="H14" s="62">
        <f>F14*99.8/100</f>
        <v>77.731578892800002</v>
      </c>
      <c r="I14" s="91">
        <f>G14*99.6/100</f>
        <v>80.000048066399998</v>
      </c>
      <c r="J14" s="62">
        <f>H14*99.8/100</f>
        <v>77.576115735014398</v>
      </c>
      <c r="K14" s="141">
        <f>I14*99.8/100</f>
        <v>79.840047970267193</v>
      </c>
      <c r="L14" s="33"/>
      <c r="M14" s="21"/>
      <c r="N14" s="21"/>
      <c r="O14" s="21"/>
      <c r="P14" s="21"/>
      <c r="Q14" s="21"/>
      <c r="R14" s="21"/>
      <c r="S14" s="21"/>
      <c r="T14" s="21"/>
    </row>
    <row r="15" spans="1:20" s="8" customFormat="1" ht="73.5" customHeight="1" x14ac:dyDescent="0.2">
      <c r="A15" s="51" t="s">
        <v>80</v>
      </c>
      <c r="B15" s="61" t="s">
        <v>21</v>
      </c>
      <c r="C15" s="63">
        <v>33.14</v>
      </c>
      <c r="D15" s="155">
        <v>30.5</v>
      </c>
      <c r="E15" s="62">
        <f>D15*98/100</f>
        <v>29.89</v>
      </c>
      <c r="F15" s="62">
        <f>E15*104/100</f>
        <v>31.085599999999999</v>
      </c>
      <c r="G15" s="91">
        <f>E15*105/100</f>
        <v>31.384500000000003</v>
      </c>
      <c r="H15" s="62">
        <f>F15*99.9/100</f>
        <v>31.054514400000002</v>
      </c>
      <c r="I15" s="91">
        <f>G15*99.6/100</f>
        <v>31.258962</v>
      </c>
      <c r="J15" s="62">
        <f>H15*99.9/100</f>
        <v>31.023459885600005</v>
      </c>
      <c r="K15" s="141">
        <f>I15*99.5/100</f>
        <v>31.102667190000002</v>
      </c>
      <c r="L15" s="33"/>
      <c r="M15" s="21"/>
      <c r="N15" s="21"/>
      <c r="O15" s="21"/>
      <c r="P15" s="21"/>
      <c r="Q15" s="21"/>
      <c r="R15" s="21"/>
      <c r="S15" s="21"/>
      <c r="T15" s="21"/>
    </row>
    <row r="16" spans="1:20" s="8" customFormat="1" ht="51.75" customHeight="1" x14ac:dyDescent="0.2">
      <c r="A16" s="51" t="s">
        <v>62</v>
      </c>
      <c r="B16" s="3" t="s">
        <v>63</v>
      </c>
      <c r="C16" s="3">
        <v>78.400000000000006</v>
      </c>
      <c r="D16" s="61">
        <v>79.3</v>
      </c>
      <c r="E16" s="84">
        <v>80</v>
      </c>
      <c r="F16" s="84">
        <v>80</v>
      </c>
      <c r="G16" s="92">
        <f>E16*100.2/100</f>
        <v>80.16</v>
      </c>
      <c r="H16" s="84">
        <f>F16*100.2/100</f>
        <v>80.16</v>
      </c>
      <c r="I16" s="92">
        <f>G16*100.3/100</f>
        <v>80.400480000000002</v>
      </c>
      <c r="J16" s="84">
        <f>H16*100.2/100</f>
        <v>80.320319999999995</v>
      </c>
      <c r="K16" s="142">
        <f>I16*100.19/100</f>
        <v>80.553240912000007</v>
      </c>
      <c r="L16" s="33"/>
      <c r="M16" s="21"/>
      <c r="N16" s="21"/>
      <c r="O16" s="21"/>
      <c r="P16" s="21"/>
      <c r="Q16" s="21"/>
      <c r="R16" s="21"/>
      <c r="S16" s="21"/>
      <c r="T16" s="21"/>
    </row>
    <row r="17" spans="1:20" s="8" customFormat="1" ht="75" x14ac:dyDescent="0.2">
      <c r="A17" s="51" t="s">
        <v>42</v>
      </c>
      <c r="B17" s="61" t="s">
        <v>81</v>
      </c>
      <c r="C17" s="61">
        <v>8.1199999999999992</v>
      </c>
      <c r="D17" s="91">
        <f>1008*1000/133680</f>
        <v>7.5403949730700184</v>
      </c>
      <c r="E17" s="91">
        <f>1008*1000/133280</f>
        <v>7.5630252100840334</v>
      </c>
      <c r="F17" s="91">
        <f>1008*1000/133150</f>
        <v>7.5704093128051069</v>
      </c>
      <c r="G17" s="91">
        <f>1008*1000/133190</f>
        <v>7.5681357459268712</v>
      </c>
      <c r="H17" s="91">
        <f>1008*1000/132750</f>
        <v>7.593220338983051</v>
      </c>
      <c r="I17" s="91">
        <f>1008*1000/133070</f>
        <v>7.5749605470804839</v>
      </c>
      <c r="J17" s="91">
        <f>1008*1000/132360</f>
        <v>7.615593834995467</v>
      </c>
      <c r="K17" s="141">
        <f>1008*1000/132900</f>
        <v>7.5846501128668171</v>
      </c>
      <c r="L17" s="33"/>
      <c r="M17" s="21"/>
      <c r="N17" s="21"/>
      <c r="O17" s="21"/>
      <c r="P17" s="21"/>
      <c r="Q17" s="21"/>
      <c r="R17" s="21"/>
      <c r="S17" s="21"/>
      <c r="T17" s="21"/>
    </row>
    <row r="18" spans="1:20" s="96" customFormat="1" ht="64.5" customHeight="1" x14ac:dyDescent="0.2">
      <c r="A18" s="51" t="s">
        <v>43</v>
      </c>
      <c r="B18" s="61" t="s">
        <v>44</v>
      </c>
      <c r="C18" s="61">
        <v>10.76</v>
      </c>
      <c r="D18" s="91">
        <f>1213*1000/133680</f>
        <v>9.0739078396169965</v>
      </c>
      <c r="E18" s="91">
        <f>1213*1000/133280</f>
        <v>9.1011404561824722</v>
      </c>
      <c r="F18" s="91">
        <f>1213*1000/133150</f>
        <v>9.110026286143448</v>
      </c>
      <c r="G18" s="91">
        <f>1213*1000/133190</f>
        <v>9.1072903371123957</v>
      </c>
      <c r="H18" s="91">
        <f>1213*1000/132750</f>
        <v>9.1374764595103581</v>
      </c>
      <c r="I18" s="91">
        <f>1213*1000/133070</f>
        <v>9.1155031186593529</v>
      </c>
      <c r="J18" s="91">
        <f>1213*1000/132360</f>
        <v>9.1644001208824424</v>
      </c>
      <c r="K18" s="141">
        <f>1213*1000/132900</f>
        <v>9.1271632806621525</v>
      </c>
      <c r="L18" s="97"/>
      <c r="M18" s="98"/>
      <c r="N18" s="98"/>
      <c r="O18" s="98"/>
      <c r="P18" s="98"/>
      <c r="Q18" s="98"/>
      <c r="R18" s="98"/>
      <c r="S18" s="98"/>
      <c r="T18" s="98"/>
    </row>
    <row r="19" spans="1:20" s="8" customFormat="1" ht="47.25" customHeight="1" x14ac:dyDescent="0.2">
      <c r="A19" s="51" t="s">
        <v>45</v>
      </c>
      <c r="B19" s="3" t="s">
        <v>46</v>
      </c>
      <c r="C19" s="3">
        <v>-2.64</v>
      </c>
      <c r="D19" s="91">
        <f>D17-D18</f>
        <v>-1.5335128665469782</v>
      </c>
      <c r="E19" s="91">
        <f t="shared" ref="E19:K19" si="0">E17-E18</f>
        <v>-1.5381152460984389</v>
      </c>
      <c r="F19" s="91">
        <f t="shared" si="0"/>
        <v>-1.5396169733383411</v>
      </c>
      <c r="G19" s="91">
        <f t="shared" si="0"/>
        <v>-1.5391545911855244</v>
      </c>
      <c r="H19" s="91">
        <f t="shared" si="0"/>
        <v>-1.5442561205273071</v>
      </c>
      <c r="I19" s="91">
        <f t="shared" si="0"/>
        <v>-1.540542571578869</v>
      </c>
      <c r="J19" s="91">
        <f t="shared" si="0"/>
        <v>-1.5488062858869753</v>
      </c>
      <c r="K19" s="141">
        <f t="shared" si="0"/>
        <v>-1.5425131677953354</v>
      </c>
      <c r="L19" s="33"/>
      <c r="M19" s="21"/>
      <c r="N19" s="21"/>
      <c r="O19" s="21"/>
      <c r="P19" s="21"/>
      <c r="Q19" s="21"/>
      <c r="R19" s="21"/>
      <c r="S19" s="21"/>
      <c r="T19" s="21"/>
    </row>
    <row r="20" spans="1:20" s="96" customFormat="1" ht="29.25" customHeight="1" x14ac:dyDescent="0.2">
      <c r="A20" s="51" t="s">
        <v>64</v>
      </c>
      <c r="B20" s="61" t="s">
        <v>21</v>
      </c>
      <c r="C20" s="91">
        <v>-0.38100000000000001</v>
      </c>
      <c r="D20" s="91">
        <v>-0.251</v>
      </c>
      <c r="E20" s="91">
        <v>-0.26200000000000001</v>
      </c>
      <c r="F20" s="101">
        <v>-0.25</v>
      </c>
      <c r="G20" s="101">
        <v>-0.2</v>
      </c>
      <c r="H20" s="101">
        <v>-0.23</v>
      </c>
      <c r="I20" s="91">
        <v>-0.18</v>
      </c>
      <c r="J20" s="101">
        <v>-0.21</v>
      </c>
      <c r="K20" s="143">
        <v>-0.15</v>
      </c>
      <c r="L20" s="106"/>
      <c r="M20" s="107"/>
      <c r="N20" s="107"/>
      <c r="O20" s="107"/>
      <c r="P20" s="107"/>
      <c r="Q20" s="107"/>
      <c r="R20" s="107"/>
      <c r="S20" s="107"/>
      <c r="T20" s="107"/>
    </row>
    <row r="21" spans="1:20" s="8" customFormat="1" ht="30" customHeight="1" x14ac:dyDescent="0.2">
      <c r="A21" s="108" t="s">
        <v>83</v>
      </c>
      <c r="B21" s="83"/>
      <c r="C21" s="83"/>
      <c r="D21" s="83"/>
      <c r="E21" s="83"/>
      <c r="F21" s="83"/>
      <c r="G21" s="83"/>
      <c r="H21" s="83"/>
      <c r="I21" s="83"/>
      <c r="J21" s="83"/>
      <c r="K21" s="83"/>
      <c r="L21" s="33"/>
      <c r="M21" s="21"/>
      <c r="N21" s="21"/>
      <c r="O21" s="21"/>
      <c r="P21" s="21"/>
      <c r="Q21" s="21"/>
      <c r="R21" s="21"/>
      <c r="S21" s="21"/>
      <c r="T21" s="21"/>
    </row>
    <row r="22" spans="1:20" s="8" customFormat="1" ht="125.25" customHeight="1" x14ac:dyDescent="0.2">
      <c r="A22" s="52" t="s">
        <v>166</v>
      </c>
      <c r="B22" s="1" t="s">
        <v>47</v>
      </c>
      <c r="C22" s="69">
        <v>26858.5</v>
      </c>
      <c r="D22" s="131">
        <v>31896.7</v>
      </c>
      <c r="E22" s="69">
        <f>D22*E23/100</f>
        <v>32853.601000000002</v>
      </c>
      <c r="F22" s="69">
        <f>E22*F23/100</f>
        <v>33510.673020000002</v>
      </c>
      <c r="G22" s="131">
        <f>E22*G23/100</f>
        <v>34167.745040000002</v>
      </c>
      <c r="H22" s="69">
        <f>F22*H23/100</f>
        <v>34515.993210599998</v>
      </c>
      <c r="I22" s="131">
        <f>G22*I23/100</f>
        <v>36217.809742400001</v>
      </c>
      <c r="J22" s="69">
        <f>H22*J23/100</f>
        <v>35896.632939023999</v>
      </c>
      <c r="K22" s="131">
        <f>I22*K23/100</f>
        <v>39115.234521792001</v>
      </c>
      <c r="L22" s="112"/>
      <c r="M22" s="112"/>
      <c r="N22" s="116"/>
      <c r="O22" s="21"/>
      <c r="P22" s="21"/>
      <c r="Q22" s="21"/>
      <c r="R22" s="21"/>
      <c r="S22" s="21"/>
      <c r="T22" s="21"/>
    </row>
    <row r="23" spans="1:20" s="8" customFormat="1" ht="125.25" customHeight="1" x14ac:dyDescent="0.2">
      <c r="A23" s="53" t="s">
        <v>165</v>
      </c>
      <c r="B23" s="1" t="s">
        <v>37</v>
      </c>
      <c r="C23" s="65">
        <v>128.6</v>
      </c>
      <c r="D23" s="132">
        <f>D22/C22*100</f>
        <v>118.75830742595454</v>
      </c>
      <c r="E23" s="65">
        <v>103</v>
      </c>
      <c r="F23" s="94">
        <v>102</v>
      </c>
      <c r="G23" s="132">
        <v>104</v>
      </c>
      <c r="H23" s="65">
        <v>103</v>
      </c>
      <c r="I23" s="132">
        <v>106</v>
      </c>
      <c r="J23" s="65">
        <v>104</v>
      </c>
      <c r="K23" s="144">
        <v>108</v>
      </c>
      <c r="L23" s="116"/>
      <c r="M23" s="116"/>
      <c r="N23" s="116"/>
      <c r="O23" s="21"/>
      <c r="P23" s="21"/>
      <c r="Q23" s="21"/>
      <c r="R23" s="21"/>
      <c r="S23" s="21"/>
      <c r="T23" s="21"/>
    </row>
    <row r="24" spans="1:20" s="8" customFormat="1" ht="108" customHeight="1" x14ac:dyDescent="0.2">
      <c r="A24" s="53" t="s">
        <v>49</v>
      </c>
      <c r="B24" s="49" t="s">
        <v>47</v>
      </c>
      <c r="C24" s="48">
        <v>3726.39</v>
      </c>
      <c r="D24" s="156">
        <v>3786.16</v>
      </c>
      <c r="E24" s="85">
        <f>D24*E25/100</f>
        <v>3824.0215999999996</v>
      </c>
      <c r="F24" s="85">
        <f>E24*F25/100</f>
        <v>3824.0215999999996</v>
      </c>
      <c r="G24" s="133">
        <f>E24*G25/100</f>
        <v>3862.2618159999997</v>
      </c>
      <c r="H24" s="85">
        <f>F24*H25/100</f>
        <v>3843.1417079999997</v>
      </c>
      <c r="I24" s="133">
        <f>G24*I25/100</f>
        <v>3920.19574324</v>
      </c>
      <c r="J24" s="85">
        <f>H24*J25/100</f>
        <v>3881.5731250799995</v>
      </c>
      <c r="K24" s="145">
        <f>I24*K25/100</f>
        <v>3998.5996581048003</v>
      </c>
      <c r="L24" s="115"/>
      <c r="M24" s="112"/>
      <c r="N24" s="116"/>
      <c r="O24" s="21"/>
      <c r="P24" s="21"/>
      <c r="Q24" s="21"/>
      <c r="R24" s="21"/>
      <c r="S24" s="21"/>
      <c r="T24" s="21"/>
    </row>
    <row r="25" spans="1:20" s="8" customFormat="1" ht="88.5" customHeight="1" x14ac:dyDescent="0.2">
      <c r="A25" s="52" t="s">
        <v>50</v>
      </c>
      <c r="B25" s="1" t="s">
        <v>37</v>
      </c>
      <c r="C25" s="84">
        <v>103</v>
      </c>
      <c r="D25" s="92">
        <f>D24/C24*100</f>
        <v>101.60396523176587</v>
      </c>
      <c r="E25" s="84">
        <v>101</v>
      </c>
      <c r="F25" s="84">
        <v>100</v>
      </c>
      <c r="G25" s="92">
        <v>101</v>
      </c>
      <c r="H25" s="84">
        <v>100.5</v>
      </c>
      <c r="I25" s="92">
        <v>101.5</v>
      </c>
      <c r="J25" s="84">
        <v>101</v>
      </c>
      <c r="K25" s="142">
        <v>102</v>
      </c>
      <c r="L25" s="115"/>
      <c r="M25" s="112"/>
      <c r="N25" s="116"/>
      <c r="O25" s="21"/>
      <c r="P25" s="21"/>
      <c r="Q25" s="21"/>
      <c r="R25" s="21"/>
      <c r="S25" s="21"/>
      <c r="T25" s="21"/>
    </row>
    <row r="26" spans="1:20" s="8" customFormat="1" ht="0.75" hidden="1" customHeight="1" x14ac:dyDescent="0.2">
      <c r="A26" s="52" t="s">
        <v>167</v>
      </c>
      <c r="B26" s="1" t="s">
        <v>47</v>
      </c>
      <c r="C26" s="3"/>
      <c r="D26" s="88"/>
      <c r="E26" s="3"/>
      <c r="F26" s="3"/>
      <c r="G26" s="61"/>
      <c r="H26" s="3"/>
      <c r="I26" s="61"/>
      <c r="J26" s="3"/>
      <c r="K26" s="140"/>
      <c r="L26" s="33"/>
      <c r="M26" s="21"/>
      <c r="N26" s="21"/>
      <c r="O26" s="21"/>
      <c r="P26" s="21"/>
      <c r="Q26" s="21"/>
      <c r="R26" s="21"/>
      <c r="S26" s="21"/>
      <c r="T26" s="21"/>
    </row>
    <row r="27" spans="1:20" s="8" customFormat="1" ht="75" hidden="1" x14ac:dyDescent="0.2">
      <c r="A27" s="52" t="s">
        <v>168</v>
      </c>
      <c r="B27" s="1" t="s">
        <v>37</v>
      </c>
      <c r="C27" s="3"/>
      <c r="D27" s="88"/>
      <c r="E27" s="3"/>
      <c r="F27" s="3"/>
      <c r="G27" s="61"/>
      <c r="H27" s="3"/>
      <c r="I27" s="61"/>
      <c r="J27" s="3"/>
      <c r="K27" s="140"/>
      <c r="L27" s="33"/>
      <c r="M27" s="21"/>
      <c r="N27" s="21"/>
      <c r="O27" s="21"/>
      <c r="P27" s="21"/>
      <c r="Q27" s="21"/>
      <c r="R27" s="21"/>
      <c r="S27" s="21"/>
      <c r="T27" s="21"/>
    </row>
    <row r="28" spans="1:20" s="8" customFormat="1" ht="0.75" hidden="1" customHeight="1" x14ac:dyDescent="0.2">
      <c r="A28" s="52" t="s">
        <v>173</v>
      </c>
      <c r="B28" s="14" t="s">
        <v>47</v>
      </c>
      <c r="C28" s="3"/>
      <c r="D28" s="88"/>
      <c r="E28" s="3"/>
      <c r="F28" s="3"/>
      <c r="G28" s="61"/>
      <c r="H28" s="3"/>
      <c r="I28" s="61"/>
      <c r="J28" s="3"/>
      <c r="K28" s="140"/>
      <c r="L28" s="33"/>
      <c r="M28" s="21"/>
      <c r="N28" s="21"/>
      <c r="O28" s="21"/>
      <c r="P28" s="21"/>
      <c r="Q28" s="21"/>
      <c r="R28" s="21"/>
      <c r="S28" s="21"/>
      <c r="T28" s="21"/>
    </row>
    <row r="29" spans="1:20" s="8" customFormat="1" ht="3.6" hidden="1" customHeight="1" x14ac:dyDescent="0.2">
      <c r="A29" s="52" t="s">
        <v>172</v>
      </c>
      <c r="B29" s="14" t="s">
        <v>37</v>
      </c>
      <c r="C29" s="3"/>
      <c r="D29" s="88"/>
      <c r="E29" s="3"/>
      <c r="F29" s="3"/>
      <c r="G29" s="61"/>
      <c r="H29" s="3"/>
      <c r="I29" s="61"/>
      <c r="J29" s="3"/>
      <c r="K29" s="140"/>
      <c r="L29" s="33"/>
      <c r="M29" s="21"/>
      <c r="N29" s="21"/>
      <c r="O29" s="21"/>
      <c r="P29" s="21"/>
      <c r="Q29" s="21"/>
      <c r="R29" s="21"/>
      <c r="S29" s="21"/>
      <c r="T29" s="21"/>
    </row>
    <row r="30" spans="1:20" s="8" customFormat="1" ht="111" hidden="1" customHeight="1" x14ac:dyDescent="0.2">
      <c r="A30" s="52" t="s">
        <v>171</v>
      </c>
      <c r="B30" s="14" t="s">
        <v>47</v>
      </c>
      <c r="C30" s="3"/>
      <c r="D30" s="88"/>
      <c r="E30" s="3"/>
      <c r="F30" s="3"/>
      <c r="G30" s="61"/>
      <c r="H30" s="3"/>
      <c r="I30" s="61"/>
      <c r="J30" s="3"/>
      <c r="K30" s="140"/>
      <c r="L30" s="33"/>
      <c r="M30" s="21"/>
      <c r="N30" s="21"/>
      <c r="O30" s="21"/>
      <c r="P30" s="21"/>
      <c r="Q30" s="21"/>
      <c r="R30" s="21"/>
      <c r="S30" s="21"/>
      <c r="T30" s="21"/>
    </row>
    <row r="31" spans="1:20" s="8" customFormat="1" ht="75" hidden="1" x14ac:dyDescent="0.2">
      <c r="A31" s="52" t="s">
        <v>169</v>
      </c>
      <c r="B31" s="14" t="s">
        <v>37</v>
      </c>
      <c r="C31" s="3"/>
      <c r="D31" s="88"/>
      <c r="E31" s="3"/>
      <c r="F31" s="3"/>
      <c r="G31" s="61"/>
      <c r="H31" s="3"/>
      <c r="I31" s="61"/>
      <c r="J31" s="3"/>
      <c r="K31" s="140"/>
      <c r="L31" s="33"/>
      <c r="M31" s="21"/>
      <c r="N31" s="21"/>
      <c r="O31" s="21"/>
      <c r="P31" s="21"/>
      <c r="Q31" s="21"/>
      <c r="R31" s="21"/>
      <c r="S31" s="21"/>
      <c r="T31" s="21"/>
    </row>
    <row r="32" spans="1:20" s="8" customFormat="1" ht="113.25" hidden="1" customHeight="1" x14ac:dyDescent="0.2">
      <c r="A32" s="52" t="s">
        <v>170</v>
      </c>
      <c r="B32" s="14" t="s">
        <v>47</v>
      </c>
      <c r="C32" s="3"/>
      <c r="D32" s="88"/>
      <c r="E32" s="3"/>
      <c r="F32" s="3"/>
      <c r="G32" s="61"/>
      <c r="H32" s="3"/>
      <c r="I32" s="61"/>
      <c r="J32" s="3"/>
      <c r="K32" s="140"/>
      <c r="L32" s="33"/>
      <c r="M32" s="21"/>
      <c r="N32" s="21"/>
      <c r="O32" s="21"/>
      <c r="P32" s="21"/>
      <c r="Q32" s="21"/>
      <c r="R32" s="21"/>
      <c r="S32" s="21"/>
      <c r="T32" s="21"/>
    </row>
    <row r="33" spans="1:20" s="8" customFormat="1" ht="75" hidden="1" x14ac:dyDescent="0.2">
      <c r="A33" s="52" t="s">
        <v>174</v>
      </c>
      <c r="B33" s="14" t="s">
        <v>37</v>
      </c>
      <c r="C33" s="3"/>
      <c r="D33" s="88"/>
      <c r="E33" s="3"/>
      <c r="F33" s="3"/>
      <c r="G33" s="61"/>
      <c r="H33" s="3"/>
      <c r="I33" s="61"/>
      <c r="J33" s="3"/>
      <c r="K33" s="140"/>
      <c r="L33" s="33"/>
      <c r="M33" s="21"/>
      <c r="N33" s="21"/>
      <c r="O33" s="21"/>
      <c r="P33" s="21"/>
      <c r="Q33" s="21"/>
      <c r="R33" s="21"/>
      <c r="S33" s="21"/>
      <c r="T33" s="21"/>
    </row>
    <row r="34" spans="1:20" s="8" customFormat="1" ht="108.75" hidden="1" customHeight="1" x14ac:dyDescent="0.2">
      <c r="A34" s="52" t="s">
        <v>175</v>
      </c>
      <c r="B34" s="14" t="s">
        <v>47</v>
      </c>
      <c r="C34" s="3"/>
      <c r="D34" s="88"/>
      <c r="E34" s="3"/>
      <c r="F34" s="3"/>
      <c r="G34" s="61"/>
      <c r="H34" s="3"/>
      <c r="I34" s="61"/>
      <c r="J34" s="3"/>
      <c r="K34" s="140"/>
      <c r="L34" s="33"/>
      <c r="M34" s="21"/>
      <c r="N34" s="21"/>
      <c r="O34" s="21"/>
      <c r="P34" s="21"/>
      <c r="Q34" s="21"/>
      <c r="R34" s="21"/>
      <c r="S34" s="21"/>
      <c r="T34" s="21"/>
    </row>
    <row r="35" spans="1:20" s="8" customFormat="1" ht="75" hidden="1" customHeight="1" x14ac:dyDescent="0.2">
      <c r="A35" s="52" t="s">
        <v>176</v>
      </c>
      <c r="B35" s="14" t="s">
        <v>37</v>
      </c>
      <c r="C35" s="3"/>
      <c r="D35" s="88"/>
      <c r="E35" s="3"/>
      <c r="F35" s="3"/>
      <c r="G35" s="61"/>
      <c r="H35" s="3"/>
      <c r="I35" s="61"/>
      <c r="J35" s="3"/>
      <c r="K35" s="140"/>
      <c r="L35" s="33"/>
      <c r="M35" s="21"/>
      <c r="N35" s="21"/>
      <c r="O35" s="21"/>
      <c r="P35" s="21"/>
      <c r="Q35" s="21"/>
      <c r="R35" s="21"/>
      <c r="S35" s="21"/>
      <c r="T35" s="21"/>
    </row>
    <row r="36" spans="1:20" s="8" customFormat="1" ht="168" hidden="1" customHeight="1" x14ac:dyDescent="0.2">
      <c r="A36" s="52" t="s">
        <v>177</v>
      </c>
      <c r="B36" s="1" t="s">
        <v>47</v>
      </c>
      <c r="C36" s="3"/>
      <c r="D36" s="88"/>
      <c r="E36" s="3"/>
      <c r="F36" s="3"/>
      <c r="G36" s="61"/>
      <c r="H36" s="3"/>
      <c r="I36" s="61"/>
      <c r="J36" s="3"/>
      <c r="K36" s="140"/>
      <c r="L36" s="33"/>
      <c r="M36" s="21"/>
      <c r="N36" s="21"/>
      <c r="O36" s="21"/>
      <c r="P36" s="21"/>
      <c r="Q36" s="21"/>
      <c r="R36" s="21"/>
      <c r="S36" s="21"/>
      <c r="T36" s="21"/>
    </row>
    <row r="37" spans="1:20" s="8" customFormat="1" ht="117.75" hidden="1" customHeight="1" x14ac:dyDescent="0.2">
      <c r="A37" s="52" t="s">
        <v>178</v>
      </c>
      <c r="B37" s="1" t="s">
        <v>37</v>
      </c>
      <c r="C37" s="3"/>
      <c r="D37" s="88"/>
      <c r="E37" s="3"/>
      <c r="F37" s="3"/>
      <c r="G37" s="61"/>
      <c r="H37" s="3"/>
      <c r="I37" s="61"/>
      <c r="J37" s="3"/>
      <c r="K37" s="140"/>
      <c r="L37" s="33"/>
      <c r="M37" s="21"/>
      <c r="N37" s="21"/>
      <c r="O37" s="21"/>
      <c r="P37" s="21"/>
      <c r="Q37" s="21"/>
      <c r="R37" s="21"/>
      <c r="S37" s="21"/>
      <c r="T37" s="21"/>
    </row>
    <row r="38" spans="1:20" s="8" customFormat="1" ht="130.5" hidden="1" customHeight="1" x14ac:dyDescent="0.2">
      <c r="A38" s="52" t="s">
        <v>179</v>
      </c>
      <c r="B38" s="1" t="s">
        <v>47</v>
      </c>
      <c r="C38" s="3"/>
      <c r="D38" s="88"/>
      <c r="E38" s="3"/>
      <c r="F38" s="3"/>
      <c r="G38" s="61"/>
      <c r="H38" s="3"/>
      <c r="I38" s="61"/>
      <c r="J38" s="3"/>
      <c r="K38" s="140"/>
      <c r="L38" s="33"/>
      <c r="M38" s="21"/>
      <c r="N38" s="21"/>
      <c r="O38" s="21"/>
      <c r="P38" s="21"/>
      <c r="Q38" s="21"/>
      <c r="R38" s="21"/>
      <c r="S38" s="21"/>
      <c r="T38" s="21"/>
    </row>
    <row r="39" spans="1:20" s="8" customFormat="1" ht="75" hidden="1" x14ac:dyDescent="0.2">
      <c r="A39" s="52" t="s">
        <v>180</v>
      </c>
      <c r="B39" s="1" t="s">
        <v>37</v>
      </c>
      <c r="C39" s="3"/>
      <c r="D39" s="88"/>
      <c r="E39" s="3"/>
      <c r="F39" s="3"/>
      <c r="G39" s="61"/>
      <c r="H39" s="3"/>
      <c r="I39" s="61"/>
      <c r="J39" s="3"/>
      <c r="K39" s="140"/>
      <c r="L39" s="33"/>
      <c r="M39" s="21"/>
      <c r="N39" s="21"/>
      <c r="O39" s="21"/>
      <c r="P39" s="21"/>
      <c r="Q39" s="21"/>
      <c r="R39" s="21"/>
      <c r="S39" s="21"/>
      <c r="T39" s="21"/>
    </row>
    <row r="40" spans="1:20" s="8" customFormat="1" ht="127.5" hidden="1" customHeight="1" x14ac:dyDescent="0.2">
      <c r="A40" s="52" t="s">
        <v>181</v>
      </c>
      <c r="B40" s="14" t="s">
        <v>47</v>
      </c>
      <c r="C40" s="3"/>
      <c r="D40" s="88"/>
      <c r="E40" s="3"/>
      <c r="F40" s="3"/>
      <c r="G40" s="61"/>
      <c r="H40" s="3"/>
      <c r="I40" s="61"/>
      <c r="J40" s="3"/>
      <c r="K40" s="140"/>
      <c r="L40" s="33"/>
      <c r="M40" s="21"/>
      <c r="N40" s="21"/>
      <c r="O40" s="21"/>
      <c r="P40" s="21"/>
      <c r="Q40" s="21"/>
      <c r="R40" s="21"/>
      <c r="S40" s="21"/>
      <c r="T40" s="21"/>
    </row>
    <row r="41" spans="1:20" s="8" customFormat="1" ht="75" hidden="1" x14ac:dyDescent="0.2">
      <c r="A41" s="52" t="s">
        <v>182</v>
      </c>
      <c r="B41" s="14" t="s">
        <v>37</v>
      </c>
      <c r="C41" s="3"/>
      <c r="D41" s="88"/>
      <c r="E41" s="3"/>
      <c r="F41" s="3"/>
      <c r="G41" s="61"/>
      <c r="H41" s="3"/>
      <c r="I41" s="61"/>
      <c r="J41" s="3"/>
      <c r="K41" s="140"/>
      <c r="L41" s="33"/>
      <c r="M41" s="21"/>
      <c r="N41" s="21"/>
      <c r="O41" s="21"/>
      <c r="P41" s="21"/>
      <c r="Q41" s="21"/>
      <c r="R41" s="21"/>
      <c r="S41" s="21"/>
      <c r="T41" s="21"/>
    </row>
    <row r="42" spans="1:20" s="8" customFormat="1" ht="135" hidden="1" customHeight="1" x14ac:dyDescent="0.2">
      <c r="A42" s="52" t="s">
        <v>214</v>
      </c>
      <c r="B42" s="1" t="s">
        <v>47</v>
      </c>
      <c r="C42" s="3"/>
      <c r="D42" s="88"/>
      <c r="E42" s="3"/>
      <c r="F42" s="3"/>
      <c r="G42" s="61"/>
      <c r="H42" s="3"/>
      <c r="I42" s="61"/>
      <c r="J42" s="3"/>
      <c r="K42" s="140"/>
      <c r="L42" s="33"/>
      <c r="M42" s="21"/>
      <c r="N42" s="21"/>
      <c r="O42" s="21"/>
      <c r="P42" s="21"/>
      <c r="Q42" s="21"/>
      <c r="R42" s="21"/>
      <c r="S42" s="21"/>
      <c r="T42" s="21"/>
    </row>
    <row r="43" spans="1:20" s="8" customFormat="1" ht="75" hidden="1" x14ac:dyDescent="0.2">
      <c r="A43" s="52" t="s">
        <v>215</v>
      </c>
      <c r="B43" s="1" t="s">
        <v>37</v>
      </c>
      <c r="C43" s="3"/>
      <c r="D43" s="88"/>
      <c r="E43" s="3"/>
      <c r="F43" s="3"/>
      <c r="G43" s="61"/>
      <c r="H43" s="3"/>
      <c r="I43" s="61"/>
      <c r="J43" s="3"/>
      <c r="K43" s="140"/>
      <c r="L43" s="33"/>
      <c r="M43" s="21"/>
      <c r="N43" s="21"/>
      <c r="O43" s="21"/>
      <c r="P43" s="21"/>
      <c r="Q43" s="21"/>
      <c r="R43" s="21"/>
      <c r="S43" s="21"/>
      <c r="T43" s="21"/>
    </row>
    <row r="44" spans="1:20" s="8" customFormat="1" ht="147" hidden="1" customHeight="1" x14ac:dyDescent="0.2">
      <c r="A44" s="52" t="s">
        <v>183</v>
      </c>
      <c r="B44" s="14" t="s">
        <v>47</v>
      </c>
      <c r="C44" s="3"/>
      <c r="D44" s="88"/>
      <c r="E44" s="3"/>
      <c r="F44" s="3"/>
      <c r="G44" s="61"/>
      <c r="H44" s="3"/>
      <c r="I44" s="61"/>
      <c r="J44" s="3"/>
      <c r="K44" s="140"/>
      <c r="L44" s="33"/>
      <c r="M44" s="21"/>
      <c r="N44" s="21"/>
      <c r="O44" s="21"/>
      <c r="P44" s="21"/>
      <c r="Q44" s="21"/>
      <c r="R44" s="21"/>
      <c r="S44" s="21"/>
      <c r="T44" s="21"/>
    </row>
    <row r="45" spans="1:20" s="8" customFormat="1" ht="75" hidden="1" x14ac:dyDescent="0.2">
      <c r="A45" s="52" t="s">
        <v>184</v>
      </c>
      <c r="B45" s="14" t="s">
        <v>37</v>
      </c>
      <c r="C45" s="3"/>
      <c r="D45" s="88"/>
      <c r="E45" s="3"/>
      <c r="F45" s="3"/>
      <c r="G45" s="61"/>
      <c r="H45" s="3"/>
      <c r="I45" s="61"/>
      <c r="J45" s="3"/>
      <c r="K45" s="140"/>
      <c r="L45" s="33"/>
      <c r="M45" s="21"/>
      <c r="N45" s="21"/>
      <c r="O45" s="21"/>
      <c r="P45" s="21"/>
      <c r="Q45" s="21"/>
      <c r="R45" s="21"/>
      <c r="S45" s="21"/>
      <c r="T45" s="21"/>
    </row>
    <row r="46" spans="1:20" s="8" customFormat="1" ht="126.75" hidden="1" customHeight="1" x14ac:dyDescent="0.2">
      <c r="A46" s="52" t="s">
        <v>185</v>
      </c>
      <c r="B46" s="1" t="s">
        <v>47</v>
      </c>
      <c r="C46" s="3"/>
      <c r="D46" s="88"/>
      <c r="E46" s="3"/>
      <c r="F46" s="3"/>
      <c r="G46" s="61"/>
      <c r="H46" s="3"/>
      <c r="I46" s="61"/>
      <c r="J46" s="3"/>
      <c r="K46" s="140"/>
      <c r="L46" s="33"/>
      <c r="M46" s="21"/>
      <c r="N46" s="21"/>
      <c r="O46" s="21"/>
      <c r="P46" s="21"/>
      <c r="Q46" s="21"/>
      <c r="R46" s="21"/>
      <c r="S46" s="21"/>
      <c r="T46" s="21"/>
    </row>
    <row r="47" spans="1:20" s="8" customFormat="1" ht="75.75" hidden="1" customHeight="1" x14ac:dyDescent="0.2">
      <c r="A47" s="52" t="s">
        <v>186</v>
      </c>
      <c r="B47" s="1" t="s">
        <v>37</v>
      </c>
      <c r="C47" s="3"/>
      <c r="D47" s="88"/>
      <c r="E47" s="3"/>
      <c r="F47" s="3"/>
      <c r="G47" s="61"/>
      <c r="H47" s="3"/>
      <c r="I47" s="61"/>
      <c r="J47" s="3"/>
      <c r="K47" s="140"/>
      <c r="L47" s="33"/>
      <c r="M47" s="21"/>
      <c r="N47" s="21"/>
      <c r="O47" s="21"/>
      <c r="P47" s="21"/>
      <c r="Q47" s="21"/>
      <c r="R47" s="21"/>
      <c r="S47" s="21"/>
      <c r="T47" s="21"/>
    </row>
    <row r="48" spans="1:20" s="8" customFormat="1" ht="132" hidden="1" customHeight="1" x14ac:dyDescent="0.2">
      <c r="A48" s="52" t="s">
        <v>187</v>
      </c>
      <c r="B48" s="1" t="s">
        <v>47</v>
      </c>
      <c r="C48" s="3"/>
      <c r="D48" s="88"/>
      <c r="E48" s="3"/>
      <c r="F48" s="3"/>
      <c r="G48" s="61"/>
      <c r="H48" s="3"/>
      <c r="I48" s="61"/>
      <c r="J48" s="3"/>
      <c r="K48" s="140"/>
      <c r="L48" s="33"/>
      <c r="M48" s="21"/>
      <c r="N48" s="21"/>
      <c r="O48" s="21"/>
      <c r="P48" s="21"/>
      <c r="Q48" s="21"/>
      <c r="R48" s="21"/>
      <c r="S48" s="21"/>
      <c r="T48" s="21"/>
    </row>
    <row r="49" spans="1:20" s="8" customFormat="1" ht="75" hidden="1" x14ac:dyDescent="0.2">
      <c r="A49" s="52" t="s">
        <v>188</v>
      </c>
      <c r="B49" s="1" t="s">
        <v>37</v>
      </c>
      <c r="C49" s="3"/>
      <c r="D49" s="88"/>
      <c r="E49" s="3"/>
      <c r="F49" s="3"/>
      <c r="G49" s="61"/>
      <c r="H49" s="3"/>
      <c r="I49" s="61"/>
      <c r="J49" s="3"/>
      <c r="K49" s="140"/>
      <c r="L49" s="33"/>
      <c r="M49" s="21"/>
      <c r="N49" s="21"/>
      <c r="O49" s="21"/>
      <c r="P49" s="21"/>
      <c r="Q49" s="21"/>
      <c r="R49" s="21"/>
      <c r="S49" s="21"/>
      <c r="T49" s="21"/>
    </row>
    <row r="50" spans="1:20" s="8" customFormat="1" ht="111" hidden="1" customHeight="1" x14ac:dyDescent="0.2">
      <c r="A50" s="52" t="s">
        <v>189</v>
      </c>
      <c r="B50" s="1" t="s">
        <v>47</v>
      </c>
      <c r="C50" s="3"/>
      <c r="D50" s="88"/>
      <c r="E50" s="3"/>
      <c r="F50" s="3"/>
      <c r="G50" s="61"/>
      <c r="H50" s="3"/>
      <c r="I50" s="61"/>
      <c r="J50" s="3"/>
      <c r="K50" s="140"/>
      <c r="L50" s="33"/>
      <c r="M50" s="21"/>
      <c r="N50" s="21"/>
      <c r="O50" s="21"/>
      <c r="P50" s="21"/>
      <c r="Q50" s="21"/>
      <c r="R50" s="21"/>
      <c r="S50" s="21"/>
      <c r="T50" s="21"/>
    </row>
    <row r="51" spans="1:20" s="8" customFormat="1" ht="75" hidden="1" x14ac:dyDescent="0.2">
      <c r="A51" s="52" t="s">
        <v>190</v>
      </c>
      <c r="B51" s="1" t="s">
        <v>37</v>
      </c>
      <c r="C51" s="3"/>
      <c r="D51" s="88"/>
      <c r="E51" s="3"/>
      <c r="F51" s="3"/>
      <c r="G51" s="61"/>
      <c r="H51" s="3"/>
      <c r="I51" s="61"/>
      <c r="J51" s="3"/>
      <c r="K51" s="140"/>
      <c r="L51" s="33"/>
      <c r="M51" s="21"/>
      <c r="N51" s="21"/>
      <c r="O51" s="21"/>
      <c r="P51" s="21"/>
      <c r="Q51" s="21"/>
      <c r="R51" s="21"/>
      <c r="S51" s="21"/>
      <c r="T51" s="21"/>
    </row>
    <row r="52" spans="1:20" s="8" customFormat="1" ht="131.25" hidden="1" x14ac:dyDescent="0.2">
      <c r="A52" s="52" t="s">
        <v>191</v>
      </c>
      <c r="B52" s="14" t="s">
        <v>47</v>
      </c>
      <c r="C52" s="3"/>
      <c r="D52" s="88"/>
      <c r="E52" s="3"/>
      <c r="F52" s="3"/>
      <c r="G52" s="61"/>
      <c r="H52" s="3"/>
      <c r="I52" s="61"/>
      <c r="J52" s="3"/>
      <c r="K52" s="140"/>
      <c r="L52" s="33"/>
      <c r="M52" s="21"/>
      <c r="N52" s="21"/>
      <c r="O52" s="21"/>
      <c r="P52" s="21"/>
      <c r="Q52" s="21"/>
      <c r="R52" s="21"/>
      <c r="S52" s="21"/>
      <c r="T52" s="21"/>
    </row>
    <row r="53" spans="1:20" s="8" customFormat="1" ht="75" hidden="1" x14ac:dyDescent="0.2">
      <c r="A53" s="52" t="s">
        <v>192</v>
      </c>
      <c r="B53" s="14" t="s">
        <v>37</v>
      </c>
      <c r="C53" s="3"/>
      <c r="D53" s="88"/>
      <c r="E53" s="3"/>
      <c r="F53" s="3"/>
      <c r="G53" s="61"/>
      <c r="H53" s="3"/>
      <c r="I53" s="61"/>
      <c r="J53" s="3"/>
      <c r="K53" s="140"/>
      <c r="L53" s="33"/>
      <c r="M53" s="21"/>
      <c r="N53" s="21"/>
      <c r="O53" s="21"/>
      <c r="P53" s="21"/>
      <c r="Q53" s="21"/>
      <c r="R53" s="21"/>
      <c r="S53" s="21"/>
      <c r="T53" s="21"/>
    </row>
    <row r="54" spans="1:20" s="8" customFormat="1" ht="127.5" hidden="1" customHeight="1" x14ac:dyDescent="0.2">
      <c r="A54" s="52" t="s">
        <v>193</v>
      </c>
      <c r="B54" s="14" t="s">
        <v>47</v>
      </c>
      <c r="C54" s="3"/>
      <c r="D54" s="88"/>
      <c r="E54" s="3"/>
      <c r="F54" s="3"/>
      <c r="G54" s="61"/>
      <c r="H54" s="3"/>
      <c r="I54" s="61"/>
      <c r="J54" s="3"/>
      <c r="K54" s="140"/>
      <c r="L54" s="33"/>
      <c r="M54" s="21"/>
      <c r="N54" s="21"/>
      <c r="O54" s="21"/>
      <c r="P54" s="21"/>
      <c r="Q54" s="21"/>
      <c r="R54" s="21"/>
      <c r="S54" s="21"/>
      <c r="T54" s="21"/>
    </row>
    <row r="55" spans="1:20" s="8" customFormat="1" ht="75" hidden="1" x14ac:dyDescent="0.2">
      <c r="A55" s="52" t="s">
        <v>194</v>
      </c>
      <c r="B55" s="14" t="s">
        <v>37</v>
      </c>
      <c r="C55" s="3"/>
      <c r="D55" s="88"/>
      <c r="E55" s="3"/>
      <c r="F55" s="3"/>
      <c r="G55" s="61"/>
      <c r="H55" s="3"/>
      <c r="I55" s="61"/>
      <c r="J55" s="3"/>
      <c r="K55" s="140"/>
      <c r="L55" s="33"/>
      <c r="M55" s="21"/>
      <c r="N55" s="21"/>
      <c r="O55" s="21"/>
      <c r="P55" s="21"/>
      <c r="Q55" s="21"/>
      <c r="R55" s="21"/>
      <c r="S55" s="21"/>
      <c r="T55" s="21"/>
    </row>
    <row r="56" spans="1:20" s="8" customFormat="1" ht="138" hidden="1" customHeight="1" x14ac:dyDescent="0.2">
      <c r="A56" s="52" t="s">
        <v>195</v>
      </c>
      <c r="B56" s="1" t="s">
        <v>47</v>
      </c>
      <c r="C56" s="3"/>
      <c r="D56" s="88"/>
      <c r="E56" s="3"/>
      <c r="F56" s="3"/>
      <c r="G56" s="61"/>
      <c r="H56" s="3"/>
      <c r="I56" s="61"/>
      <c r="J56" s="3"/>
      <c r="K56" s="140"/>
      <c r="L56" s="33"/>
      <c r="M56" s="21"/>
      <c r="N56" s="21"/>
      <c r="O56" s="21"/>
      <c r="P56" s="21"/>
      <c r="Q56" s="21"/>
      <c r="R56" s="21"/>
      <c r="S56" s="21"/>
      <c r="T56" s="21"/>
    </row>
    <row r="57" spans="1:20" s="8" customFormat="1" ht="75" hidden="1" x14ac:dyDescent="0.2">
      <c r="A57" s="52" t="s">
        <v>196</v>
      </c>
      <c r="B57" s="1" t="s">
        <v>37</v>
      </c>
      <c r="C57" s="3"/>
      <c r="D57" s="88"/>
      <c r="E57" s="3"/>
      <c r="F57" s="3"/>
      <c r="G57" s="61"/>
      <c r="H57" s="3"/>
      <c r="I57" s="61"/>
      <c r="J57" s="3"/>
      <c r="K57" s="140"/>
      <c r="L57" s="33"/>
      <c r="M57" s="21"/>
      <c r="N57" s="21"/>
      <c r="O57" s="21"/>
      <c r="P57" s="21"/>
      <c r="Q57" s="21"/>
      <c r="R57" s="21"/>
      <c r="S57" s="21"/>
      <c r="T57" s="21"/>
    </row>
    <row r="58" spans="1:20" s="8" customFormat="1" ht="129.75" hidden="1" customHeight="1" x14ac:dyDescent="0.2">
      <c r="A58" s="52" t="s">
        <v>197</v>
      </c>
      <c r="B58" s="14" t="s">
        <v>47</v>
      </c>
      <c r="C58" s="3"/>
      <c r="D58" s="88"/>
      <c r="E58" s="3"/>
      <c r="F58" s="3"/>
      <c r="G58" s="61"/>
      <c r="H58" s="3"/>
      <c r="I58" s="61"/>
      <c r="J58" s="3"/>
      <c r="K58" s="140"/>
      <c r="L58" s="33"/>
      <c r="M58" s="21"/>
      <c r="N58" s="21"/>
      <c r="O58" s="21"/>
      <c r="P58" s="21"/>
      <c r="Q58" s="21"/>
      <c r="R58" s="21"/>
      <c r="S58" s="21"/>
      <c r="T58" s="21"/>
    </row>
    <row r="59" spans="1:20" s="8" customFormat="1" ht="75" hidden="1" x14ac:dyDescent="0.2">
      <c r="A59" s="52" t="s">
        <v>198</v>
      </c>
      <c r="B59" s="14" t="s">
        <v>37</v>
      </c>
      <c r="C59" s="3"/>
      <c r="D59" s="88"/>
      <c r="E59" s="3"/>
      <c r="F59" s="3"/>
      <c r="G59" s="61"/>
      <c r="H59" s="3"/>
      <c r="I59" s="61"/>
      <c r="J59" s="3"/>
      <c r="K59" s="140"/>
      <c r="L59" s="33"/>
      <c r="M59" s="21"/>
      <c r="N59" s="21"/>
      <c r="O59" s="21"/>
      <c r="P59" s="21"/>
      <c r="Q59" s="21"/>
      <c r="R59" s="21"/>
      <c r="S59" s="21"/>
      <c r="T59" s="21"/>
    </row>
    <row r="60" spans="1:20" s="8" customFormat="1" ht="108.75" hidden="1" customHeight="1" x14ac:dyDescent="0.2">
      <c r="A60" s="52" t="s">
        <v>199</v>
      </c>
      <c r="B60" s="14" t="s">
        <v>47</v>
      </c>
      <c r="C60" s="3"/>
      <c r="D60" s="88"/>
      <c r="E60" s="3"/>
      <c r="F60" s="3"/>
      <c r="G60" s="61"/>
      <c r="H60" s="3"/>
      <c r="I60" s="61"/>
      <c r="J60" s="3"/>
      <c r="K60" s="140"/>
      <c r="L60" s="33"/>
      <c r="M60" s="21"/>
      <c r="N60" s="21"/>
      <c r="O60" s="21"/>
      <c r="P60" s="21"/>
      <c r="Q60" s="21"/>
      <c r="R60" s="21"/>
      <c r="S60" s="21"/>
      <c r="T60" s="21"/>
    </row>
    <row r="61" spans="1:20" s="8" customFormat="1" ht="75" hidden="1" x14ac:dyDescent="0.2">
      <c r="A61" s="52" t="s">
        <v>200</v>
      </c>
      <c r="B61" s="14" t="s">
        <v>37</v>
      </c>
      <c r="C61" s="3"/>
      <c r="D61" s="88"/>
      <c r="E61" s="3"/>
      <c r="F61" s="3"/>
      <c r="G61" s="61"/>
      <c r="H61" s="3"/>
      <c r="I61" s="61"/>
      <c r="J61" s="3"/>
      <c r="K61" s="140"/>
      <c r="L61" s="35"/>
      <c r="M61" s="23"/>
      <c r="N61" s="23"/>
      <c r="O61" s="23"/>
      <c r="P61" s="23"/>
      <c r="Q61" s="23"/>
      <c r="R61" s="23"/>
      <c r="S61" s="23"/>
      <c r="T61" s="23"/>
    </row>
    <row r="62" spans="1:20" s="8" customFormat="1" ht="112.5" hidden="1" x14ac:dyDescent="0.2">
      <c r="A62" s="52" t="s">
        <v>201</v>
      </c>
      <c r="B62" s="14" t="s">
        <v>47</v>
      </c>
      <c r="C62" s="3"/>
      <c r="D62" s="88"/>
      <c r="E62" s="3"/>
      <c r="F62" s="3"/>
      <c r="G62" s="61"/>
      <c r="H62" s="3"/>
      <c r="I62" s="61"/>
      <c r="J62" s="3"/>
      <c r="K62" s="140"/>
      <c r="L62" s="33"/>
      <c r="M62" s="21"/>
      <c r="N62" s="21"/>
      <c r="O62" s="21"/>
      <c r="P62" s="21"/>
      <c r="Q62" s="21"/>
      <c r="R62" s="21"/>
      <c r="S62" s="21"/>
      <c r="T62" s="21"/>
    </row>
    <row r="63" spans="1:20" s="8" customFormat="1" ht="1.5" hidden="1" customHeight="1" x14ac:dyDescent="0.2">
      <c r="A63" s="52" t="s">
        <v>202</v>
      </c>
      <c r="B63" s="14" t="s">
        <v>37</v>
      </c>
      <c r="C63" s="3"/>
      <c r="D63" s="88"/>
      <c r="E63" s="3"/>
      <c r="F63" s="3"/>
      <c r="G63" s="61"/>
      <c r="H63" s="3"/>
      <c r="I63" s="61"/>
      <c r="J63" s="3"/>
      <c r="K63" s="140"/>
      <c r="L63" s="33"/>
      <c r="M63" s="21"/>
      <c r="N63" s="21"/>
      <c r="O63" s="21"/>
      <c r="P63" s="21"/>
      <c r="Q63" s="21"/>
      <c r="R63" s="21"/>
      <c r="S63" s="21"/>
      <c r="T63" s="21"/>
    </row>
    <row r="64" spans="1:20" s="8" customFormat="1" ht="30" customHeight="1" x14ac:dyDescent="0.2">
      <c r="A64" s="166" t="s">
        <v>51</v>
      </c>
      <c r="B64" s="167"/>
      <c r="C64" s="167"/>
      <c r="D64" s="167"/>
      <c r="E64" s="167"/>
      <c r="F64" s="104"/>
      <c r="G64" s="104"/>
      <c r="H64" s="104"/>
      <c r="I64" s="104"/>
      <c r="J64" s="104"/>
      <c r="K64" s="104"/>
      <c r="L64" s="34"/>
      <c r="M64" s="22"/>
      <c r="N64" s="22"/>
      <c r="O64" s="22"/>
      <c r="P64" s="22"/>
      <c r="Q64" s="22"/>
      <c r="R64" s="22"/>
      <c r="S64" s="22"/>
      <c r="T64" s="22"/>
    </row>
    <row r="65" spans="1:20" s="8" customFormat="1" ht="148.5" customHeight="1" x14ac:dyDescent="0.2">
      <c r="A65" s="52" t="s">
        <v>60</v>
      </c>
      <c r="B65" s="14" t="s">
        <v>47</v>
      </c>
      <c r="C65" s="3">
        <v>1954.1</v>
      </c>
      <c r="D65" s="61">
        <v>2354.6799999999998</v>
      </c>
      <c r="E65" s="62">
        <f>D65*E66/100</f>
        <v>2401.7736</v>
      </c>
      <c r="F65" s="62">
        <f>E65*F66/100</f>
        <v>2425.7913360000002</v>
      </c>
      <c r="G65" s="91">
        <f>E65*G66/100</f>
        <v>2473.8268079999998</v>
      </c>
      <c r="H65" s="62">
        <f>F65*H66/100</f>
        <v>2474.3071627200002</v>
      </c>
      <c r="I65" s="91">
        <f>G65*I66/100</f>
        <v>2597.5181484</v>
      </c>
      <c r="J65" s="62">
        <f>H65*J66/100</f>
        <v>2548.5363776016002</v>
      </c>
      <c r="K65" s="141">
        <f>I65*K66/100</f>
        <v>2779.344418788</v>
      </c>
      <c r="L65" s="111"/>
      <c r="M65" s="112"/>
      <c r="N65" s="21"/>
      <c r="O65" s="21"/>
      <c r="P65" s="21"/>
      <c r="Q65" s="21"/>
      <c r="R65" s="21"/>
      <c r="S65" s="21"/>
      <c r="T65" s="21"/>
    </row>
    <row r="66" spans="1:20" s="8" customFormat="1" ht="87.75" customHeight="1" x14ac:dyDescent="0.2">
      <c r="A66" s="52" t="s">
        <v>59</v>
      </c>
      <c r="B66" s="14" t="s">
        <v>37</v>
      </c>
      <c r="C66" s="62">
        <v>111.89</v>
      </c>
      <c r="D66" s="91">
        <f>D65/C65*100</f>
        <v>120.49946266823601</v>
      </c>
      <c r="E66" s="84">
        <v>102</v>
      </c>
      <c r="F66" s="84">
        <v>101</v>
      </c>
      <c r="G66" s="92">
        <v>103</v>
      </c>
      <c r="H66" s="84">
        <v>102</v>
      </c>
      <c r="I66" s="92">
        <v>105</v>
      </c>
      <c r="J66" s="84">
        <v>103</v>
      </c>
      <c r="K66" s="141">
        <v>107</v>
      </c>
      <c r="L66" s="115"/>
      <c r="M66" s="116"/>
      <c r="N66" s="21"/>
      <c r="O66" s="21"/>
      <c r="P66" s="21"/>
      <c r="Q66" s="21"/>
      <c r="R66" s="21"/>
      <c r="S66" s="21"/>
      <c r="T66" s="21"/>
    </row>
    <row r="67" spans="1:20" s="8" customFormat="1" ht="30" customHeight="1" x14ac:dyDescent="0.2">
      <c r="A67" s="166" t="s">
        <v>54</v>
      </c>
      <c r="B67" s="167"/>
      <c r="C67" s="167"/>
      <c r="D67" s="167"/>
      <c r="E67" s="167"/>
      <c r="F67" s="167"/>
      <c r="G67" s="167"/>
      <c r="H67" s="167"/>
      <c r="I67" s="104"/>
      <c r="J67" s="104"/>
      <c r="K67" s="104"/>
      <c r="L67" s="35"/>
      <c r="M67" s="23"/>
      <c r="N67" s="23"/>
      <c r="O67" s="23"/>
      <c r="P67" s="23"/>
      <c r="Q67" s="23"/>
      <c r="R67" s="23"/>
      <c r="S67" s="23"/>
      <c r="T67" s="23"/>
    </row>
    <row r="68" spans="1:20" s="8" customFormat="1" ht="168" customHeight="1" x14ac:dyDescent="0.2">
      <c r="A68" s="52" t="s">
        <v>52</v>
      </c>
      <c r="B68" s="1" t="s">
        <v>47</v>
      </c>
      <c r="C68" s="62">
        <v>839</v>
      </c>
      <c r="D68" s="91">
        <v>981</v>
      </c>
      <c r="E68" s="62">
        <f>D68*E69/100</f>
        <v>1000.62</v>
      </c>
      <c r="F68" s="62">
        <f>E68*F69/100</f>
        <v>1010.6261999999999</v>
      </c>
      <c r="G68" s="91">
        <f>E68*G69/100</f>
        <v>1030.6386</v>
      </c>
      <c r="H68" s="62">
        <f>F68*H69/100</f>
        <v>1030.838724</v>
      </c>
      <c r="I68" s="91">
        <f>G68*I69/100</f>
        <v>1082.1705300000001</v>
      </c>
      <c r="J68" s="62">
        <f>H68*J69/100</f>
        <v>1061.76388572</v>
      </c>
      <c r="K68" s="141">
        <f>I68*K69/100</f>
        <v>1157.9224671000002</v>
      </c>
      <c r="L68" s="111"/>
      <c r="M68" s="116"/>
      <c r="N68" s="21"/>
      <c r="O68" s="21"/>
      <c r="P68" s="21"/>
      <c r="Q68" s="21"/>
      <c r="R68" s="21"/>
      <c r="S68" s="21"/>
      <c r="T68" s="21"/>
    </row>
    <row r="69" spans="1:20" s="8" customFormat="1" ht="114.75" customHeight="1" x14ac:dyDescent="0.2">
      <c r="A69" s="52" t="s">
        <v>53</v>
      </c>
      <c r="B69" s="1" t="s">
        <v>37</v>
      </c>
      <c r="C69" s="62">
        <v>105.5</v>
      </c>
      <c r="D69" s="91">
        <f>D68/C68*100</f>
        <v>116.92491060786652</v>
      </c>
      <c r="E69" s="62">
        <v>102</v>
      </c>
      <c r="F69" s="84">
        <v>101</v>
      </c>
      <c r="G69" s="92">
        <v>103</v>
      </c>
      <c r="H69" s="84">
        <v>102</v>
      </c>
      <c r="I69" s="92">
        <v>105</v>
      </c>
      <c r="J69" s="84">
        <v>103</v>
      </c>
      <c r="K69" s="142">
        <v>107</v>
      </c>
      <c r="L69" s="115"/>
      <c r="M69" s="116"/>
      <c r="N69" s="21"/>
      <c r="O69" s="21"/>
      <c r="P69" s="21"/>
      <c r="Q69" s="21"/>
      <c r="R69" s="21"/>
      <c r="S69" s="21"/>
      <c r="T69" s="21"/>
    </row>
    <row r="70" spans="1:20" s="8" customFormat="1" ht="30" customHeight="1" x14ac:dyDescent="0.2">
      <c r="A70" s="160" t="s">
        <v>85</v>
      </c>
      <c r="B70" s="104"/>
      <c r="C70" s="104"/>
      <c r="D70" s="168"/>
      <c r="E70" s="104"/>
      <c r="F70" s="104"/>
      <c r="G70" s="104"/>
      <c r="H70" s="104"/>
      <c r="I70" s="104"/>
      <c r="J70" s="104"/>
      <c r="K70" s="104"/>
      <c r="L70" s="33"/>
      <c r="M70" s="21"/>
      <c r="N70" s="21"/>
      <c r="O70" s="21"/>
      <c r="P70" s="21"/>
      <c r="Q70" s="21"/>
      <c r="R70" s="21"/>
      <c r="S70" s="21"/>
      <c r="T70" s="21"/>
    </row>
    <row r="71" spans="1:20" s="8" customFormat="1" ht="31.5" customHeight="1" x14ac:dyDescent="0.2">
      <c r="A71" s="51" t="s">
        <v>0</v>
      </c>
      <c r="B71" s="3" t="s">
        <v>82</v>
      </c>
      <c r="C71" s="74">
        <v>557.47</v>
      </c>
      <c r="D71" s="61" t="s">
        <v>218</v>
      </c>
      <c r="E71" s="3" t="s">
        <v>218</v>
      </c>
      <c r="F71" s="3"/>
      <c r="G71" s="61"/>
      <c r="H71" s="3"/>
      <c r="I71" s="61"/>
      <c r="J71" s="3"/>
      <c r="K71" s="140"/>
      <c r="L71" s="33"/>
      <c r="M71" s="21"/>
      <c r="N71" s="21"/>
      <c r="O71" s="21"/>
      <c r="P71" s="21"/>
      <c r="Q71" s="21"/>
      <c r="R71" s="21"/>
      <c r="S71" s="21"/>
      <c r="T71" s="21"/>
    </row>
    <row r="72" spans="1:20" s="8" customFormat="1" ht="87" customHeight="1" x14ac:dyDescent="0.2">
      <c r="A72" s="51" t="s">
        <v>1</v>
      </c>
      <c r="B72" s="3" t="s">
        <v>84</v>
      </c>
      <c r="C72" s="75">
        <v>104.2</v>
      </c>
      <c r="D72" s="61" t="s">
        <v>218</v>
      </c>
      <c r="E72" s="3" t="s">
        <v>218</v>
      </c>
      <c r="F72" s="3"/>
      <c r="G72" s="61"/>
      <c r="H72" s="3"/>
      <c r="I72" s="61"/>
      <c r="J72" s="3"/>
      <c r="K72" s="140"/>
      <c r="L72" s="33"/>
      <c r="M72" s="21"/>
      <c r="N72" s="21"/>
      <c r="O72" s="21"/>
      <c r="P72" s="21"/>
      <c r="Q72" s="21"/>
      <c r="R72" s="21"/>
      <c r="S72" s="21"/>
      <c r="T72" s="21"/>
    </row>
    <row r="73" spans="1:20" s="8" customFormat="1" ht="18.75" x14ac:dyDescent="0.2">
      <c r="A73" s="51" t="s">
        <v>2</v>
      </c>
      <c r="B73" s="3" t="s">
        <v>82</v>
      </c>
      <c r="C73" s="74">
        <v>460.1</v>
      </c>
      <c r="D73" s="61" t="s">
        <v>218</v>
      </c>
      <c r="E73" s="3" t="s">
        <v>218</v>
      </c>
      <c r="F73" s="3"/>
      <c r="G73" s="61"/>
      <c r="H73" s="3"/>
      <c r="I73" s="61"/>
      <c r="J73" s="3"/>
      <c r="K73" s="140"/>
      <c r="L73" s="33"/>
      <c r="M73" s="21"/>
      <c r="N73" s="21"/>
      <c r="O73" s="21"/>
      <c r="P73" s="21"/>
      <c r="Q73" s="21"/>
      <c r="R73" s="21"/>
      <c r="S73" s="21"/>
      <c r="T73" s="21"/>
    </row>
    <row r="74" spans="1:20" s="8" customFormat="1" ht="85.5" customHeight="1" x14ac:dyDescent="0.2">
      <c r="A74" s="51" t="s">
        <v>3</v>
      </c>
      <c r="B74" s="3" t="s">
        <v>84</v>
      </c>
      <c r="C74" s="75">
        <v>101.8</v>
      </c>
      <c r="D74" s="61" t="s">
        <v>218</v>
      </c>
      <c r="E74" s="3" t="s">
        <v>218</v>
      </c>
      <c r="F74" s="3"/>
      <c r="G74" s="61"/>
      <c r="H74" s="3"/>
      <c r="I74" s="61"/>
      <c r="J74" s="3"/>
      <c r="K74" s="140"/>
      <c r="L74" s="35"/>
      <c r="M74" s="23"/>
      <c r="N74" s="23"/>
      <c r="O74" s="23"/>
      <c r="P74" s="23"/>
      <c r="Q74" s="23"/>
      <c r="R74" s="23"/>
      <c r="S74" s="23"/>
      <c r="T74" s="23"/>
    </row>
    <row r="75" spans="1:20" s="8" customFormat="1" ht="31.5" customHeight="1" x14ac:dyDescent="0.2">
      <c r="A75" s="51" t="s">
        <v>4</v>
      </c>
      <c r="B75" s="3" t="s">
        <v>82</v>
      </c>
      <c r="C75" s="74">
        <v>88.4</v>
      </c>
      <c r="D75" s="61" t="s">
        <v>218</v>
      </c>
      <c r="E75" s="3" t="s">
        <v>218</v>
      </c>
      <c r="F75" s="3"/>
      <c r="G75" s="61"/>
      <c r="H75" s="3"/>
      <c r="I75" s="61"/>
      <c r="J75" s="3"/>
      <c r="K75" s="140"/>
      <c r="L75" s="33"/>
      <c r="M75" s="21"/>
      <c r="N75" s="21"/>
      <c r="O75" s="21"/>
      <c r="P75" s="21"/>
      <c r="Q75" s="21"/>
      <c r="R75" s="21"/>
      <c r="S75" s="21"/>
      <c r="T75" s="21"/>
    </row>
    <row r="76" spans="1:20" s="8" customFormat="1" ht="88.5" customHeight="1" x14ac:dyDescent="0.2">
      <c r="A76" s="51" t="s">
        <v>5</v>
      </c>
      <c r="B76" s="3" t="s">
        <v>84</v>
      </c>
      <c r="C76" s="75">
        <v>106.5</v>
      </c>
      <c r="D76" s="61" t="s">
        <v>218</v>
      </c>
      <c r="E76" s="3" t="s">
        <v>218</v>
      </c>
      <c r="F76" s="3"/>
      <c r="G76" s="61"/>
      <c r="H76" s="3"/>
      <c r="I76" s="61"/>
      <c r="J76" s="3"/>
      <c r="K76" s="140"/>
      <c r="L76" s="33"/>
      <c r="M76" s="21"/>
      <c r="N76" s="21"/>
      <c r="O76" s="21"/>
      <c r="P76" s="21"/>
      <c r="Q76" s="21"/>
      <c r="R76" s="21"/>
      <c r="S76" s="21"/>
      <c r="T76" s="21"/>
    </row>
    <row r="77" spans="1:20" s="42" customFormat="1" ht="30" customHeight="1" x14ac:dyDescent="0.2">
      <c r="A77" s="166" t="s">
        <v>131</v>
      </c>
      <c r="B77" s="167"/>
      <c r="C77" s="167"/>
      <c r="D77" s="167"/>
      <c r="E77" s="167"/>
      <c r="F77" s="167"/>
      <c r="G77" s="167"/>
      <c r="H77" s="167"/>
      <c r="I77" s="167"/>
      <c r="J77" s="167"/>
      <c r="K77" s="104"/>
      <c r="L77" s="40"/>
      <c r="M77" s="41"/>
      <c r="N77" s="41"/>
      <c r="O77" s="41"/>
      <c r="P77" s="41"/>
      <c r="Q77" s="41"/>
      <c r="R77" s="41"/>
      <c r="S77" s="41"/>
      <c r="T77" s="41"/>
    </row>
    <row r="78" spans="1:20" s="8" customFormat="1" ht="53.25" customHeight="1" x14ac:dyDescent="0.2">
      <c r="A78" s="54" t="s">
        <v>6</v>
      </c>
      <c r="B78" s="1" t="s">
        <v>7</v>
      </c>
      <c r="C78" s="3" t="s">
        <v>218</v>
      </c>
      <c r="D78" s="61" t="s">
        <v>218</v>
      </c>
      <c r="E78" s="3" t="s">
        <v>218</v>
      </c>
      <c r="F78" s="3"/>
      <c r="G78" s="61"/>
      <c r="H78" s="3"/>
      <c r="I78" s="61"/>
      <c r="J78" s="3"/>
      <c r="K78" s="140"/>
      <c r="L78" s="33"/>
      <c r="M78" s="21"/>
      <c r="N78" s="21"/>
      <c r="O78" s="21"/>
      <c r="P78" s="21"/>
      <c r="Q78" s="21"/>
      <c r="R78" s="21"/>
      <c r="S78" s="21"/>
      <c r="T78" s="21"/>
    </row>
    <row r="79" spans="1:20" s="8" customFormat="1" ht="30.75" customHeight="1" x14ac:dyDescent="0.2">
      <c r="A79" s="54" t="s">
        <v>8</v>
      </c>
      <c r="B79" s="1" t="s">
        <v>7</v>
      </c>
      <c r="C79" s="3" t="s">
        <v>218</v>
      </c>
      <c r="D79" s="61" t="s">
        <v>218</v>
      </c>
      <c r="E79" s="3" t="s">
        <v>218</v>
      </c>
      <c r="F79" s="3"/>
      <c r="G79" s="61"/>
      <c r="H79" s="3"/>
      <c r="I79" s="61"/>
      <c r="J79" s="3"/>
      <c r="K79" s="140"/>
      <c r="L79" s="33"/>
      <c r="M79" s="21"/>
      <c r="N79" s="21"/>
      <c r="O79" s="21"/>
      <c r="P79" s="21"/>
      <c r="Q79" s="21"/>
      <c r="R79" s="21"/>
      <c r="S79" s="21"/>
      <c r="T79" s="21"/>
    </row>
    <row r="80" spans="1:20" s="8" customFormat="1" ht="50.25" customHeight="1" x14ac:dyDescent="0.2">
      <c r="A80" s="54" t="s">
        <v>9</v>
      </c>
      <c r="B80" s="1" t="s">
        <v>7</v>
      </c>
      <c r="C80" s="3" t="s">
        <v>218</v>
      </c>
      <c r="D80" s="61" t="s">
        <v>218</v>
      </c>
      <c r="E80" s="3" t="s">
        <v>218</v>
      </c>
      <c r="F80" s="3"/>
      <c r="G80" s="61"/>
      <c r="H80" s="3"/>
      <c r="I80" s="61"/>
      <c r="J80" s="3"/>
      <c r="K80" s="140"/>
      <c r="L80" s="33"/>
      <c r="M80" s="21"/>
      <c r="N80" s="21"/>
      <c r="O80" s="21"/>
      <c r="P80" s="21"/>
      <c r="Q80" s="21"/>
      <c r="R80" s="21"/>
      <c r="S80" s="21"/>
      <c r="T80" s="21"/>
    </row>
    <row r="81" spans="1:20" s="8" customFormat="1" ht="27" customHeight="1" x14ac:dyDescent="0.2">
      <c r="A81" s="54" t="s">
        <v>10</v>
      </c>
      <c r="B81" s="1" t="s">
        <v>7</v>
      </c>
      <c r="C81" s="3" t="s">
        <v>218</v>
      </c>
      <c r="D81" s="61" t="s">
        <v>218</v>
      </c>
      <c r="E81" s="3" t="s">
        <v>218</v>
      </c>
      <c r="F81" s="3"/>
      <c r="G81" s="61"/>
      <c r="H81" s="3"/>
      <c r="I81" s="61"/>
      <c r="J81" s="3"/>
      <c r="K81" s="140"/>
      <c r="L81" s="33"/>
      <c r="M81" s="21"/>
      <c r="N81" s="21"/>
      <c r="O81" s="21"/>
      <c r="P81" s="21"/>
      <c r="Q81" s="21"/>
      <c r="R81" s="21"/>
      <c r="S81" s="21"/>
      <c r="T81" s="21"/>
    </row>
    <row r="82" spans="1:20" s="8" customFormat="1" ht="24" customHeight="1" x14ac:dyDescent="0.2">
      <c r="A82" s="54" t="s">
        <v>11</v>
      </c>
      <c r="B82" s="1" t="s">
        <v>7</v>
      </c>
      <c r="C82" s="74">
        <v>1.55</v>
      </c>
      <c r="D82" s="61">
        <v>1.38</v>
      </c>
      <c r="E82" s="62">
        <f>D82*108.6/100</f>
        <v>1.4986799999999996</v>
      </c>
      <c r="F82" s="62">
        <f>E82*99/100</f>
        <v>1.4836931999999996</v>
      </c>
      <c r="G82" s="91">
        <f>E82*104.2/100</f>
        <v>1.5616245599999996</v>
      </c>
      <c r="H82" s="62">
        <f>F82*98/100</f>
        <v>1.4540193359999996</v>
      </c>
      <c r="I82" s="91">
        <f>G82*104/100</f>
        <v>1.6240895423999995</v>
      </c>
      <c r="J82" s="62">
        <f>H82*98/100</f>
        <v>1.4249389492799995</v>
      </c>
      <c r="K82" s="141">
        <f>I82*103.8/100</f>
        <v>1.6858049450111994</v>
      </c>
      <c r="L82" s="33"/>
      <c r="M82" s="21"/>
      <c r="N82" s="21"/>
      <c r="O82" s="21"/>
      <c r="P82" s="21"/>
      <c r="Q82" s="21"/>
      <c r="R82" s="21"/>
      <c r="S82" s="21"/>
      <c r="T82" s="21"/>
    </row>
    <row r="83" spans="1:20" s="8" customFormat="1" ht="26.25" customHeight="1" x14ac:dyDescent="0.2">
      <c r="A83" s="54" t="s">
        <v>12</v>
      </c>
      <c r="B83" s="1" t="s">
        <v>7</v>
      </c>
      <c r="C83" s="74">
        <v>0.99</v>
      </c>
      <c r="D83" s="61">
        <v>0.95</v>
      </c>
      <c r="E83" s="62">
        <f>D83*108.6/100</f>
        <v>1.0316999999999998</v>
      </c>
      <c r="F83" s="62">
        <f>E83*99/100</f>
        <v>1.0213829999999999</v>
      </c>
      <c r="G83" s="91">
        <f>E83*104.2/100</f>
        <v>1.0750313999999999</v>
      </c>
      <c r="H83" s="62">
        <f>F83*98/100</f>
        <v>1.00095534</v>
      </c>
      <c r="I83" s="91">
        <f>G83*104/100</f>
        <v>1.1180326559999998</v>
      </c>
      <c r="J83" s="62">
        <f>H83*98/100</f>
        <v>0.9809362331999999</v>
      </c>
      <c r="K83" s="141">
        <f>I83*103.8/100</f>
        <v>1.1605178969279997</v>
      </c>
      <c r="L83" s="33"/>
      <c r="M83" s="21"/>
      <c r="N83" s="21"/>
      <c r="O83" s="21"/>
      <c r="P83" s="21"/>
      <c r="Q83" s="21"/>
      <c r="R83" s="21"/>
      <c r="S83" s="21"/>
      <c r="T83" s="21"/>
    </row>
    <row r="84" spans="1:20" s="8" customFormat="1" ht="26.25" customHeight="1" x14ac:dyDescent="0.2">
      <c r="A84" s="54" t="s">
        <v>13</v>
      </c>
      <c r="B84" s="1" t="s">
        <v>7</v>
      </c>
      <c r="C84" s="75">
        <v>0.18</v>
      </c>
      <c r="D84" s="61" t="s">
        <v>218</v>
      </c>
      <c r="E84" s="3" t="s">
        <v>218</v>
      </c>
      <c r="F84" s="3"/>
      <c r="G84" s="61"/>
      <c r="H84" s="3"/>
      <c r="I84" s="61"/>
      <c r="J84" s="3"/>
      <c r="K84" s="140"/>
      <c r="L84" s="35"/>
      <c r="M84" s="23"/>
      <c r="N84" s="23"/>
      <c r="O84" s="23"/>
      <c r="P84" s="23"/>
      <c r="Q84" s="23"/>
      <c r="R84" s="23"/>
      <c r="S84" s="23"/>
      <c r="T84" s="23"/>
    </row>
    <row r="85" spans="1:20" s="8" customFormat="1" ht="21" customHeight="1" x14ac:dyDescent="0.2">
      <c r="A85" s="54" t="s">
        <v>14</v>
      </c>
      <c r="B85" s="1" t="s">
        <v>7</v>
      </c>
      <c r="C85" s="75">
        <v>1.34</v>
      </c>
      <c r="D85" s="61" t="s">
        <v>218</v>
      </c>
      <c r="E85" s="3" t="s">
        <v>218</v>
      </c>
      <c r="F85" s="3"/>
      <c r="G85" s="61"/>
      <c r="H85" s="3"/>
      <c r="I85" s="61"/>
      <c r="J85" s="3"/>
      <c r="K85" s="140"/>
      <c r="L85" s="33"/>
      <c r="M85" s="21"/>
      <c r="N85" s="21"/>
      <c r="O85" s="21"/>
      <c r="P85" s="21"/>
      <c r="Q85" s="21"/>
      <c r="R85" s="21"/>
      <c r="S85" s="21"/>
      <c r="T85" s="21"/>
    </row>
    <row r="86" spans="1:20" s="8" customFormat="1" ht="29.25" customHeight="1" x14ac:dyDescent="0.2">
      <c r="A86" s="54" t="s">
        <v>15</v>
      </c>
      <c r="B86" s="1" t="s">
        <v>216</v>
      </c>
      <c r="C86" s="75">
        <v>365.8</v>
      </c>
      <c r="D86" s="61" t="s">
        <v>218</v>
      </c>
      <c r="E86" s="3" t="s">
        <v>218</v>
      </c>
      <c r="F86" s="3"/>
      <c r="G86" s="61"/>
      <c r="H86" s="3"/>
      <c r="I86" s="61"/>
      <c r="J86" s="3"/>
      <c r="K86" s="140"/>
      <c r="L86" s="33"/>
      <c r="M86" s="21"/>
      <c r="N86" s="21"/>
      <c r="O86" s="21"/>
      <c r="P86" s="21"/>
      <c r="Q86" s="21"/>
      <c r="R86" s="21"/>
      <c r="S86" s="21"/>
      <c r="T86" s="21"/>
    </row>
    <row r="87" spans="1:20" s="8" customFormat="1" ht="30" customHeight="1" x14ac:dyDescent="0.2">
      <c r="A87" s="160" t="s">
        <v>86</v>
      </c>
      <c r="B87" s="104"/>
      <c r="C87" s="104"/>
      <c r="D87" s="104"/>
      <c r="E87" s="104"/>
      <c r="F87" s="104"/>
      <c r="G87" s="104"/>
      <c r="H87" s="104"/>
      <c r="I87" s="104"/>
      <c r="J87" s="104"/>
      <c r="K87" s="104"/>
      <c r="L87" s="33"/>
      <c r="M87" s="21"/>
      <c r="N87" s="21"/>
      <c r="O87" s="21"/>
      <c r="P87" s="21"/>
      <c r="Q87" s="21"/>
      <c r="R87" s="21"/>
      <c r="S87" s="21"/>
      <c r="T87" s="21"/>
    </row>
    <row r="88" spans="1:20" s="8" customFormat="1" ht="66" customHeight="1" x14ac:dyDescent="0.2">
      <c r="A88" s="51" t="s">
        <v>87</v>
      </c>
      <c r="B88" s="3" t="s">
        <v>88</v>
      </c>
      <c r="C88" s="61">
        <v>2267.4699999999998</v>
      </c>
      <c r="D88" s="91">
        <v>658.8</v>
      </c>
      <c r="E88" s="62">
        <f>D88*E89/100</f>
        <v>1185.8399999999999</v>
      </c>
      <c r="F88" s="62">
        <f>E88*F89/100</f>
        <v>1304.424</v>
      </c>
      <c r="G88" s="91">
        <f>E88*G89/100</f>
        <v>1541.5919999999999</v>
      </c>
      <c r="H88" s="62">
        <f>F88*H89/100</f>
        <v>1460.9548800000002</v>
      </c>
      <c r="I88" s="91">
        <f>G88*I89/100</f>
        <v>1849.9103999999998</v>
      </c>
      <c r="J88" s="62">
        <f>H88*J89/100</f>
        <v>1680.0981120000004</v>
      </c>
      <c r="K88" s="141">
        <f>I88*K89/100</f>
        <v>2312.3879999999995</v>
      </c>
      <c r="L88" s="35"/>
      <c r="M88" s="23"/>
      <c r="N88" s="23"/>
      <c r="O88" s="23"/>
      <c r="P88" s="23"/>
      <c r="Q88" s="23"/>
      <c r="R88" s="23"/>
      <c r="S88" s="23"/>
      <c r="T88" s="23"/>
    </row>
    <row r="89" spans="1:20" s="8" customFormat="1" ht="75" x14ac:dyDescent="0.2">
      <c r="A89" s="51" t="s">
        <v>89</v>
      </c>
      <c r="B89" s="3" t="s">
        <v>84</v>
      </c>
      <c r="C89" s="62">
        <v>135.33000000000001</v>
      </c>
      <c r="D89" s="91">
        <f>D88/C88*100</f>
        <v>29.054408658107938</v>
      </c>
      <c r="E89" s="62">
        <v>180</v>
      </c>
      <c r="F89" s="61">
        <v>110</v>
      </c>
      <c r="G89" s="61">
        <v>130</v>
      </c>
      <c r="H89" s="61">
        <v>112</v>
      </c>
      <c r="I89" s="61">
        <v>120</v>
      </c>
      <c r="J89" s="61">
        <v>115</v>
      </c>
      <c r="K89" s="140">
        <v>125</v>
      </c>
      <c r="L89" s="33"/>
      <c r="M89" s="21"/>
      <c r="N89" s="21"/>
      <c r="O89" s="21"/>
      <c r="P89" s="21"/>
      <c r="Q89" s="21"/>
      <c r="R89" s="21"/>
      <c r="S89" s="21"/>
      <c r="T89" s="21"/>
    </row>
    <row r="90" spans="1:20" s="8" customFormat="1" ht="37.5" x14ac:dyDescent="0.2">
      <c r="A90" s="51" t="s">
        <v>16</v>
      </c>
      <c r="B90" s="3" t="s">
        <v>90</v>
      </c>
      <c r="C90" s="3">
        <v>59.16</v>
      </c>
      <c r="D90" s="61">
        <v>42.08</v>
      </c>
      <c r="E90" s="165">
        <v>52.02</v>
      </c>
      <c r="F90" s="62">
        <v>53.06</v>
      </c>
      <c r="G90" s="91">
        <v>56.19</v>
      </c>
      <c r="H90" s="62">
        <v>54.13</v>
      </c>
      <c r="I90" s="91">
        <v>61.8</v>
      </c>
      <c r="J90" s="62">
        <v>55.21</v>
      </c>
      <c r="K90" s="141">
        <f>I90*112/100</f>
        <v>69.215999999999994</v>
      </c>
      <c r="L90" s="111"/>
      <c r="M90" s="112"/>
      <c r="N90" s="21"/>
      <c r="O90" s="21"/>
      <c r="P90" s="21"/>
      <c r="Q90" s="21"/>
      <c r="R90" s="21"/>
      <c r="S90" s="21"/>
      <c r="T90" s="21"/>
    </row>
    <row r="91" spans="1:20" s="96" customFormat="1" ht="30" customHeight="1" x14ac:dyDescent="0.2">
      <c r="A91" s="108" t="s">
        <v>91</v>
      </c>
      <c r="B91" s="83"/>
      <c r="C91" s="83"/>
      <c r="D91" s="83"/>
      <c r="E91" s="83"/>
      <c r="F91" s="83"/>
      <c r="G91" s="83"/>
      <c r="H91" s="83"/>
      <c r="I91" s="83"/>
      <c r="J91" s="83"/>
      <c r="K91" s="83"/>
      <c r="L91" s="113"/>
      <c r="M91" s="114"/>
      <c r="N91" s="107"/>
      <c r="O91" s="107"/>
      <c r="P91" s="107"/>
      <c r="Q91" s="107"/>
      <c r="R91" s="107"/>
      <c r="S91" s="107"/>
      <c r="T91" s="107"/>
    </row>
    <row r="92" spans="1:20" s="8" customFormat="1" ht="31.5" customHeight="1" x14ac:dyDescent="0.2">
      <c r="A92" s="51" t="s">
        <v>18</v>
      </c>
      <c r="B92" s="19" t="s">
        <v>92</v>
      </c>
      <c r="C92" s="19">
        <v>6456.38</v>
      </c>
      <c r="D92" s="61">
        <v>7506.89</v>
      </c>
      <c r="E92" s="62">
        <f>D92*E93/100</f>
        <v>8032.3723</v>
      </c>
      <c r="F92" s="62">
        <f>E92*F93/100</f>
        <v>8112.6960230000004</v>
      </c>
      <c r="G92" s="91">
        <f>E92*G93/100</f>
        <v>8353.6671920000008</v>
      </c>
      <c r="H92" s="62">
        <f>G92*H93/100</f>
        <v>8520.740535840001</v>
      </c>
      <c r="I92" s="91">
        <f>G92*I93/100</f>
        <v>8854.8872235200015</v>
      </c>
      <c r="J92" s="62">
        <f>H92*J93/100</f>
        <v>8776.3627519152014</v>
      </c>
      <c r="K92" s="91">
        <f>I92*K93/100</f>
        <v>9563.2782014016011</v>
      </c>
      <c r="L92" s="115"/>
      <c r="M92" s="116"/>
      <c r="N92" s="21"/>
      <c r="O92" s="21"/>
      <c r="P92" s="21"/>
      <c r="Q92" s="21"/>
      <c r="R92" s="21"/>
      <c r="S92" s="21"/>
      <c r="T92" s="21"/>
    </row>
    <row r="93" spans="1:20" s="8" customFormat="1" ht="75" x14ac:dyDescent="0.2">
      <c r="A93" s="51" t="s">
        <v>93</v>
      </c>
      <c r="B93" s="3" t="s">
        <v>84</v>
      </c>
      <c r="C93" s="62">
        <f>138.81</f>
        <v>138.81</v>
      </c>
      <c r="D93" s="91">
        <f>D92/C92*100</f>
        <v>116.27088244496142</v>
      </c>
      <c r="E93" s="91">
        <v>107</v>
      </c>
      <c r="F93" s="64">
        <v>101</v>
      </c>
      <c r="G93" s="61">
        <v>104</v>
      </c>
      <c r="H93" s="64">
        <v>102</v>
      </c>
      <c r="I93" s="61">
        <v>106</v>
      </c>
      <c r="J93" s="64">
        <v>103</v>
      </c>
      <c r="K93" s="140">
        <v>108</v>
      </c>
      <c r="L93" s="109"/>
      <c r="M93" s="23"/>
      <c r="N93" s="23"/>
      <c r="O93" s="23"/>
      <c r="P93" s="23"/>
      <c r="Q93" s="23"/>
      <c r="R93" s="23"/>
      <c r="S93" s="23"/>
      <c r="T93" s="23"/>
    </row>
    <row r="94" spans="1:20" s="8" customFormat="1" ht="31.5" customHeight="1" x14ac:dyDescent="0.2">
      <c r="A94" s="51" t="s">
        <v>19</v>
      </c>
      <c r="B94" s="3" t="s">
        <v>92</v>
      </c>
      <c r="C94" s="3">
        <v>18530.810000000001</v>
      </c>
      <c r="D94" s="91">
        <f>C94*D95/100</f>
        <v>20710.033256000002</v>
      </c>
      <c r="E94" s="62">
        <f>D94*E95/100</f>
        <v>22159.735583920003</v>
      </c>
      <c r="F94" s="62">
        <f>E94*F95/100</f>
        <v>22381.332939759202</v>
      </c>
      <c r="G94" s="91">
        <f>E94*G95/100</f>
        <v>23046.125007276805</v>
      </c>
      <c r="H94" s="62">
        <f>F94*H95/100</f>
        <v>22828.959598554386</v>
      </c>
      <c r="I94" s="91">
        <f>G94*I95/100</f>
        <v>24428.892507713415</v>
      </c>
      <c r="J94" s="62">
        <f>H94*J95/100</f>
        <v>23513.828386511017</v>
      </c>
      <c r="K94" s="141">
        <f>I94*K95/100</f>
        <v>26383.203908330492</v>
      </c>
      <c r="L94" s="115"/>
      <c r="M94" s="116"/>
      <c r="N94" s="21"/>
      <c r="O94" s="21"/>
      <c r="P94" s="21"/>
      <c r="Q94" s="21"/>
      <c r="R94" s="21"/>
      <c r="S94" s="21"/>
      <c r="T94" s="21"/>
    </row>
    <row r="95" spans="1:20" s="8" customFormat="1" ht="75" x14ac:dyDescent="0.2">
      <c r="A95" s="51" t="s">
        <v>94</v>
      </c>
      <c r="B95" s="3" t="s">
        <v>84</v>
      </c>
      <c r="C95" s="62">
        <v>134.91</v>
      </c>
      <c r="D95" s="61">
        <v>111.76</v>
      </c>
      <c r="E95" s="91">
        <v>107</v>
      </c>
      <c r="F95" s="61">
        <v>101</v>
      </c>
      <c r="G95" s="61">
        <v>104</v>
      </c>
      <c r="H95" s="61">
        <v>102</v>
      </c>
      <c r="I95" s="61">
        <v>106</v>
      </c>
      <c r="J95" s="61">
        <v>103</v>
      </c>
      <c r="K95" s="140">
        <v>108</v>
      </c>
      <c r="L95" s="111"/>
      <c r="M95" s="116"/>
      <c r="N95" s="21"/>
      <c r="O95" s="21"/>
      <c r="P95" s="21"/>
      <c r="Q95" s="21"/>
      <c r="R95" s="21"/>
      <c r="S95" s="21"/>
      <c r="T95" s="21"/>
    </row>
    <row r="96" spans="1:20" s="8" customFormat="1" ht="30" customHeight="1" x14ac:dyDescent="0.2">
      <c r="A96" s="162" t="s">
        <v>151</v>
      </c>
      <c r="B96" s="163"/>
      <c r="C96" s="163"/>
      <c r="D96" s="163"/>
      <c r="E96" s="163"/>
      <c r="F96" s="163"/>
      <c r="G96" s="163"/>
      <c r="H96" s="163"/>
      <c r="I96" s="163"/>
      <c r="J96" s="163"/>
      <c r="K96" s="164"/>
      <c r="L96" s="33"/>
      <c r="M96" s="21"/>
      <c r="N96" s="21"/>
      <c r="O96" s="21"/>
      <c r="P96" s="21"/>
      <c r="Q96" s="21"/>
      <c r="R96" s="21"/>
      <c r="S96" s="21"/>
      <c r="T96" s="21"/>
    </row>
    <row r="97" spans="1:21" s="8" customFormat="1" ht="72" customHeight="1" x14ac:dyDescent="0.2">
      <c r="A97" s="51" t="s">
        <v>65</v>
      </c>
      <c r="B97" s="3" t="s">
        <v>20</v>
      </c>
      <c r="C97" s="3">
        <v>922</v>
      </c>
      <c r="D97" s="61">
        <v>908</v>
      </c>
      <c r="E97" s="3">
        <v>910</v>
      </c>
      <c r="F97" s="3">
        <v>912</v>
      </c>
      <c r="G97" s="61">
        <v>934</v>
      </c>
      <c r="H97" s="3">
        <v>920</v>
      </c>
      <c r="I97" s="61">
        <v>939</v>
      </c>
      <c r="J97" s="3">
        <v>927</v>
      </c>
      <c r="K97" s="140">
        <v>944</v>
      </c>
      <c r="L97" s="109"/>
      <c r="M97" s="110"/>
      <c r="N97" s="23"/>
      <c r="O97" s="23"/>
      <c r="P97" s="23"/>
      <c r="Q97" s="23"/>
      <c r="R97" s="23"/>
      <c r="S97" s="23"/>
      <c r="T97" s="23"/>
    </row>
    <row r="98" spans="1:21" s="8" customFormat="1" ht="108.75" customHeight="1" x14ac:dyDescent="0.2">
      <c r="A98" s="51" t="s">
        <v>95</v>
      </c>
      <c r="B98" s="3" t="s">
        <v>21</v>
      </c>
      <c r="C98" s="3">
        <v>15260</v>
      </c>
      <c r="D98" s="61">
        <v>16001</v>
      </c>
      <c r="E98" s="3">
        <v>16161</v>
      </c>
      <c r="F98" s="3">
        <v>16235</v>
      </c>
      <c r="G98" s="61">
        <v>16322</v>
      </c>
      <c r="H98" s="3">
        <v>16397</v>
      </c>
      <c r="I98" s="61">
        <v>16485</v>
      </c>
      <c r="J98" s="3">
        <v>16561</v>
      </c>
      <c r="K98" s="140">
        <v>16650</v>
      </c>
      <c r="L98" s="109"/>
      <c r="M98" s="110"/>
      <c r="N98" s="24"/>
      <c r="O98" s="25"/>
      <c r="P98" s="24"/>
      <c r="Q98" s="25"/>
      <c r="R98" s="24"/>
      <c r="S98" s="25"/>
      <c r="T98" s="24"/>
    </row>
    <row r="99" spans="1:21" s="8" customFormat="1" ht="56.25" x14ac:dyDescent="0.2">
      <c r="A99" s="51" t="s">
        <v>48</v>
      </c>
      <c r="B99" s="3" t="s">
        <v>96</v>
      </c>
      <c r="C99" s="3">
        <v>17.989999999999998</v>
      </c>
      <c r="D99" s="61">
        <v>18.46</v>
      </c>
      <c r="E99" s="3">
        <v>18.64</v>
      </c>
      <c r="F99" s="3">
        <v>18.73</v>
      </c>
      <c r="G99" s="61">
        <v>18.829999999999998</v>
      </c>
      <c r="H99" s="3">
        <v>18.91</v>
      </c>
      <c r="I99" s="61">
        <v>19.010000000000002</v>
      </c>
      <c r="J99" s="3">
        <v>19.11</v>
      </c>
      <c r="K99" s="140">
        <v>19.21</v>
      </c>
      <c r="L99" s="109"/>
      <c r="M99" s="110"/>
      <c r="N99" s="24"/>
      <c r="O99" s="25"/>
      <c r="P99" s="24"/>
      <c r="Q99" s="25"/>
      <c r="R99" s="24"/>
      <c r="S99" s="25"/>
      <c r="T99" s="24"/>
    </row>
    <row r="100" spans="1:21" s="8" customFormat="1" ht="30" customHeight="1" x14ac:dyDescent="0.3">
      <c r="A100" s="160" t="s">
        <v>149</v>
      </c>
      <c r="B100" s="104"/>
      <c r="C100" s="104"/>
      <c r="D100" s="104"/>
      <c r="E100" s="104"/>
      <c r="F100" s="104"/>
      <c r="G100" s="104"/>
      <c r="H100" s="104"/>
      <c r="I100" s="104"/>
      <c r="J100" s="104"/>
      <c r="K100" s="104"/>
      <c r="L100" s="36"/>
      <c r="M100" s="26"/>
      <c r="N100" s="24"/>
      <c r="O100" s="26"/>
      <c r="P100" s="24"/>
      <c r="Q100" s="26"/>
      <c r="R100" s="24"/>
      <c r="S100" s="26"/>
      <c r="T100" s="24"/>
      <c r="U100" s="6"/>
    </row>
    <row r="101" spans="1:21" s="8" customFormat="1" ht="56.25" x14ac:dyDescent="0.2">
      <c r="A101" s="55" t="s">
        <v>134</v>
      </c>
      <c r="B101" s="1" t="s">
        <v>135</v>
      </c>
      <c r="C101" s="67">
        <v>16887.5</v>
      </c>
      <c r="D101" s="157">
        <v>21162.2</v>
      </c>
      <c r="E101" s="67">
        <f>D101*110/100</f>
        <v>23278.42</v>
      </c>
      <c r="F101" s="68">
        <f>E101*F102/100</f>
        <v>23976.772599999997</v>
      </c>
      <c r="G101" s="134">
        <f>E101*G102/100</f>
        <v>25606.261999999999</v>
      </c>
      <c r="H101" s="68">
        <f>F101*H102/100</f>
        <v>24696.075777999995</v>
      </c>
      <c r="I101" s="134">
        <f>G101*I102/100</f>
        <v>28166.888199999998</v>
      </c>
      <c r="J101" s="68">
        <f>H101*J102/100</f>
        <v>25436.958051339992</v>
      </c>
      <c r="K101" s="146">
        <f>I101*K102/100</f>
        <v>30983.577019999997</v>
      </c>
      <c r="L101" s="36"/>
      <c r="M101" s="26"/>
      <c r="N101" s="24"/>
      <c r="O101" s="26"/>
      <c r="P101" s="24"/>
      <c r="Q101" s="26"/>
      <c r="R101" s="24"/>
      <c r="S101" s="26"/>
      <c r="T101" s="24"/>
      <c r="U101" s="13"/>
    </row>
    <row r="102" spans="1:21" s="8" customFormat="1" ht="75" x14ac:dyDescent="0.2">
      <c r="A102" s="55" t="s">
        <v>22</v>
      </c>
      <c r="B102" s="1" t="s">
        <v>136</v>
      </c>
      <c r="C102" s="67">
        <v>137.62</v>
      </c>
      <c r="D102" s="157">
        <f>D101/C101*100</f>
        <v>125.31280532938564</v>
      </c>
      <c r="E102" s="67">
        <f>E101/D101*100</f>
        <v>109.99999999999999</v>
      </c>
      <c r="F102" s="68">
        <v>103</v>
      </c>
      <c r="G102" s="134">
        <v>110</v>
      </c>
      <c r="H102" s="68">
        <v>103</v>
      </c>
      <c r="I102" s="134">
        <v>110</v>
      </c>
      <c r="J102" s="68">
        <v>103</v>
      </c>
      <c r="K102" s="146">
        <v>110</v>
      </c>
      <c r="L102" s="37"/>
      <c r="M102" s="28"/>
      <c r="N102" s="27"/>
      <c r="O102" s="28"/>
      <c r="P102" s="27"/>
      <c r="Q102" s="28"/>
      <c r="R102" s="27"/>
      <c r="S102" s="28"/>
      <c r="T102" s="27"/>
    </row>
    <row r="103" spans="1:21" s="8" customFormat="1" ht="131.25" x14ac:dyDescent="0.2">
      <c r="A103" s="54" t="s">
        <v>137</v>
      </c>
      <c r="B103" s="1" t="s">
        <v>47</v>
      </c>
      <c r="C103" s="66">
        <v>5090.3</v>
      </c>
      <c r="D103" s="105">
        <v>7091.1</v>
      </c>
      <c r="E103" s="69">
        <f>D103*E104/100</f>
        <v>7162.0110000000013</v>
      </c>
      <c r="F103" s="68">
        <f>E103*F104/100</f>
        <v>7233.6311100000012</v>
      </c>
      <c r="G103" s="131">
        <f>E103*G104/100</f>
        <v>7305.251220000001</v>
      </c>
      <c r="H103" s="68">
        <f>F103*H104/100</f>
        <v>7378.3037322000009</v>
      </c>
      <c r="I103" s="131">
        <f>G103*I104/100</f>
        <v>7597.4612688000016</v>
      </c>
      <c r="J103" s="68">
        <f>H103*J104/100</f>
        <v>7599.6528441660012</v>
      </c>
      <c r="K103" s="147">
        <f>I103*K104/100</f>
        <v>8053.3089449280014</v>
      </c>
      <c r="L103" s="37"/>
      <c r="M103" s="29"/>
      <c r="N103" s="27"/>
      <c r="O103" s="29"/>
      <c r="P103" s="27"/>
      <c r="Q103" s="29"/>
      <c r="R103" s="27"/>
      <c r="S103" s="29"/>
      <c r="T103" s="27"/>
    </row>
    <row r="104" spans="1:21" s="8" customFormat="1" ht="75" x14ac:dyDescent="0.2">
      <c r="A104" s="54" t="s">
        <v>138</v>
      </c>
      <c r="B104" s="1" t="s">
        <v>136</v>
      </c>
      <c r="C104" s="69">
        <v>85.08</v>
      </c>
      <c r="D104" s="157">
        <f>D103/C103*100</f>
        <v>139.30613126927688</v>
      </c>
      <c r="E104" s="69">
        <v>101</v>
      </c>
      <c r="F104" s="68">
        <v>101</v>
      </c>
      <c r="G104" s="131">
        <v>102</v>
      </c>
      <c r="H104" s="68">
        <v>102</v>
      </c>
      <c r="I104" s="131">
        <v>104</v>
      </c>
      <c r="J104" s="68">
        <v>103</v>
      </c>
      <c r="K104" s="147">
        <v>106</v>
      </c>
      <c r="L104" s="37"/>
      <c r="M104" s="29"/>
      <c r="N104" s="27"/>
      <c r="O104" s="29"/>
      <c r="P104" s="27"/>
      <c r="Q104" s="29"/>
      <c r="R104" s="27"/>
      <c r="S104" s="29"/>
      <c r="T104" s="27"/>
    </row>
    <row r="105" spans="1:21" s="8" customFormat="1" ht="39" x14ac:dyDescent="0.2">
      <c r="A105" s="15" t="s">
        <v>139</v>
      </c>
      <c r="B105" s="14"/>
      <c r="C105" s="15"/>
      <c r="D105" s="158"/>
      <c r="E105" s="15"/>
      <c r="F105" s="14"/>
      <c r="G105" s="135"/>
      <c r="H105" s="14"/>
      <c r="I105" s="135"/>
      <c r="J105" s="14"/>
      <c r="K105" s="148"/>
      <c r="L105" s="37"/>
      <c r="M105" s="30"/>
      <c r="N105" s="27"/>
      <c r="O105" s="30"/>
      <c r="P105" s="27"/>
      <c r="Q105" s="30"/>
      <c r="R105" s="27"/>
      <c r="S105" s="30"/>
      <c r="T105" s="27"/>
    </row>
    <row r="106" spans="1:21" s="8" customFormat="1" ht="18.75" x14ac:dyDescent="0.2">
      <c r="A106" s="56" t="s">
        <v>23</v>
      </c>
      <c r="B106" s="14" t="s">
        <v>140</v>
      </c>
      <c r="C106" s="71">
        <v>2190.3000000000002</v>
      </c>
      <c r="D106" s="159">
        <v>1325.5</v>
      </c>
      <c r="E106" s="71">
        <v>1391.76</v>
      </c>
      <c r="F106" s="72">
        <v>1461.35</v>
      </c>
      <c r="G106" s="136">
        <v>1530.94</v>
      </c>
      <c r="H106" s="72">
        <v>1599.83</v>
      </c>
      <c r="I106" s="136">
        <v>1684.03</v>
      </c>
      <c r="J106" s="72">
        <v>1759.82</v>
      </c>
      <c r="K106" s="149">
        <v>1852.44</v>
      </c>
      <c r="L106" s="37"/>
      <c r="M106" s="30"/>
      <c r="N106" s="27"/>
      <c r="O106" s="30"/>
      <c r="P106" s="27"/>
      <c r="Q106" s="30"/>
      <c r="R106" s="27"/>
      <c r="S106" s="30"/>
      <c r="T106" s="27"/>
    </row>
    <row r="107" spans="1:21" s="8" customFormat="1" ht="18.75" x14ac:dyDescent="0.2">
      <c r="A107" s="56" t="s">
        <v>66</v>
      </c>
      <c r="B107" s="14" t="s">
        <v>140</v>
      </c>
      <c r="C107" s="70">
        <v>2488.9</v>
      </c>
      <c r="D107" s="158">
        <v>5765.6</v>
      </c>
      <c r="E107" s="71">
        <v>4301.1899999999996</v>
      </c>
      <c r="F107" s="72">
        <f>E107*101/100</f>
        <v>4344.2018999999991</v>
      </c>
      <c r="G107" s="136">
        <f>E107*103/100</f>
        <v>4430.2256999999991</v>
      </c>
      <c r="H107" s="72">
        <f>F107*101/100</f>
        <v>4387.6439189999992</v>
      </c>
      <c r="I107" s="136">
        <f>G107*105/100</f>
        <v>4651.7369849999986</v>
      </c>
      <c r="J107" s="72">
        <f>H107*101/100</f>
        <v>4431.5203581899996</v>
      </c>
      <c r="K107" s="149">
        <f>I107*108/100</f>
        <v>5023.8759437999988</v>
      </c>
      <c r="L107" s="37"/>
      <c r="M107" s="30"/>
      <c r="N107" s="27"/>
      <c r="O107" s="30"/>
      <c r="P107" s="27"/>
      <c r="Q107" s="30"/>
      <c r="R107" s="27"/>
      <c r="S107" s="30"/>
      <c r="T107" s="27"/>
    </row>
    <row r="108" spans="1:21" s="8" customFormat="1" ht="18.75" x14ac:dyDescent="0.2">
      <c r="A108" s="52" t="s">
        <v>141</v>
      </c>
      <c r="B108" s="14" t="s">
        <v>140</v>
      </c>
      <c r="C108" s="73">
        <v>0</v>
      </c>
      <c r="D108" s="159">
        <v>0</v>
      </c>
      <c r="E108" s="73">
        <v>0</v>
      </c>
      <c r="F108" s="72">
        <v>0</v>
      </c>
      <c r="G108" s="137">
        <v>0</v>
      </c>
      <c r="H108" s="72">
        <v>0</v>
      </c>
      <c r="I108" s="137">
        <v>0</v>
      </c>
      <c r="J108" s="72">
        <v>0</v>
      </c>
      <c r="K108" s="150">
        <v>0</v>
      </c>
      <c r="L108" s="37"/>
      <c r="M108" s="30"/>
      <c r="N108" s="27"/>
      <c r="O108" s="30"/>
      <c r="P108" s="27"/>
      <c r="Q108" s="30"/>
      <c r="R108" s="27"/>
      <c r="S108" s="30"/>
      <c r="T108" s="27"/>
    </row>
    <row r="109" spans="1:21" s="8" customFormat="1" ht="18.75" x14ac:dyDescent="0.2">
      <c r="A109" s="52" t="s">
        <v>142</v>
      </c>
      <c r="B109" s="14" t="s">
        <v>140</v>
      </c>
      <c r="C109" s="73">
        <v>0</v>
      </c>
      <c r="D109" s="159">
        <v>0</v>
      </c>
      <c r="E109" s="73">
        <v>0</v>
      </c>
      <c r="F109" s="72">
        <v>0</v>
      </c>
      <c r="G109" s="137">
        <v>0</v>
      </c>
      <c r="H109" s="72">
        <v>0</v>
      </c>
      <c r="I109" s="137">
        <v>0</v>
      </c>
      <c r="J109" s="72">
        <v>0</v>
      </c>
      <c r="K109" s="150">
        <v>0</v>
      </c>
      <c r="L109" s="37"/>
      <c r="M109" s="29"/>
      <c r="N109" s="27"/>
      <c r="O109" s="29"/>
      <c r="P109" s="27"/>
      <c r="Q109" s="29"/>
      <c r="R109" s="27"/>
      <c r="S109" s="29"/>
      <c r="T109" s="27"/>
    </row>
    <row r="110" spans="1:21" s="8" customFormat="1" ht="37.5" x14ac:dyDescent="0.2">
      <c r="A110" s="52" t="s">
        <v>143</v>
      </c>
      <c r="B110" s="14" t="s">
        <v>140</v>
      </c>
      <c r="C110" s="73">
        <v>0</v>
      </c>
      <c r="D110" s="159">
        <v>0</v>
      </c>
      <c r="E110" s="73">
        <v>0</v>
      </c>
      <c r="F110" s="72">
        <v>0</v>
      </c>
      <c r="G110" s="137">
        <v>0</v>
      </c>
      <c r="H110" s="72">
        <v>0</v>
      </c>
      <c r="I110" s="137">
        <v>0</v>
      </c>
      <c r="J110" s="72">
        <v>0</v>
      </c>
      <c r="K110" s="150">
        <v>0</v>
      </c>
      <c r="L110" s="37"/>
      <c r="M110" s="29"/>
      <c r="N110" s="27"/>
      <c r="O110" s="29"/>
      <c r="P110" s="27"/>
      <c r="Q110" s="29"/>
      <c r="R110" s="27"/>
      <c r="S110" s="29"/>
      <c r="T110" s="27"/>
    </row>
    <row r="111" spans="1:21" s="8" customFormat="1" ht="18.75" x14ac:dyDescent="0.2">
      <c r="A111" s="52" t="s">
        <v>144</v>
      </c>
      <c r="B111" s="14" t="s">
        <v>140</v>
      </c>
      <c r="C111" s="73">
        <v>1737.3</v>
      </c>
      <c r="D111" s="159">
        <v>3796.3</v>
      </c>
      <c r="E111" s="73">
        <v>3986.09</v>
      </c>
      <c r="F111" s="72">
        <v>4185.3900000000003</v>
      </c>
      <c r="G111" s="137">
        <v>4384.6899999999996</v>
      </c>
      <c r="H111" s="72">
        <v>4582</v>
      </c>
      <c r="I111" s="137">
        <v>4823.16</v>
      </c>
      <c r="J111" s="72">
        <v>5040.2</v>
      </c>
      <c r="K111" s="150">
        <v>5305.48</v>
      </c>
      <c r="L111" s="37"/>
      <c r="M111" s="29"/>
      <c r="N111" s="27"/>
      <c r="O111" s="29"/>
      <c r="P111" s="27"/>
      <c r="Q111" s="29"/>
      <c r="R111" s="27"/>
      <c r="S111" s="29"/>
      <c r="T111" s="27"/>
    </row>
    <row r="112" spans="1:21" s="8" customFormat="1" ht="18.75" x14ac:dyDescent="0.2">
      <c r="A112" s="56" t="s">
        <v>145</v>
      </c>
      <c r="B112" s="14" t="s">
        <v>140</v>
      </c>
      <c r="C112" s="71">
        <v>1560.9</v>
      </c>
      <c r="D112" s="159">
        <v>3538.1</v>
      </c>
      <c r="E112" s="71">
        <v>3714.98</v>
      </c>
      <c r="F112" s="72">
        <v>3900.73</v>
      </c>
      <c r="G112" s="136">
        <v>4086.48</v>
      </c>
      <c r="H112" s="72">
        <v>4270.3599999999997</v>
      </c>
      <c r="I112" s="136">
        <v>4495.12</v>
      </c>
      <c r="J112" s="72">
        <v>4697.3999999999996</v>
      </c>
      <c r="K112" s="149">
        <v>4944.63</v>
      </c>
      <c r="L112" s="37"/>
      <c r="M112" s="30"/>
      <c r="N112" s="27"/>
      <c r="O112" s="30"/>
      <c r="P112" s="27"/>
      <c r="Q112" s="30"/>
      <c r="R112" s="27"/>
      <c r="S112" s="30"/>
      <c r="T112" s="27"/>
    </row>
    <row r="113" spans="1:20" s="8" customFormat="1" ht="37.5" x14ac:dyDescent="0.2">
      <c r="A113" s="56" t="s">
        <v>146</v>
      </c>
      <c r="B113" s="14" t="s">
        <v>140</v>
      </c>
      <c r="C113" s="71">
        <v>77.2</v>
      </c>
      <c r="D113" s="159">
        <v>170.8</v>
      </c>
      <c r="E113" s="71">
        <v>179.34</v>
      </c>
      <c r="F113" s="72">
        <v>188.31</v>
      </c>
      <c r="G113" s="136">
        <v>197.27</v>
      </c>
      <c r="H113" s="72">
        <v>206.15</v>
      </c>
      <c r="I113" s="136">
        <v>217</v>
      </c>
      <c r="J113" s="72">
        <v>226.76</v>
      </c>
      <c r="K113" s="149">
        <v>238.7</v>
      </c>
      <c r="L113" s="35"/>
      <c r="M113" s="23"/>
      <c r="N113" s="23"/>
      <c r="O113" s="23"/>
      <c r="P113" s="23"/>
      <c r="Q113" s="23"/>
      <c r="R113" s="23"/>
      <c r="S113" s="23"/>
      <c r="T113" s="23"/>
    </row>
    <row r="114" spans="1:20" s="8" customFormat="1" ht="18.75" x14ac:dyDescent="0.2">
      <c r="A114" s="56" t="s">
        <v>147</v>
      </c>
      <c r="B114" s="14" t="s">
        <v>140</v>
      </c>
      <c r="C114" s="71">
        <v>99.2</v>
      </c>
      <c r="D114" s="159">
        <v>87.4</v>
      </c>
      <c r="E114" s="71">
        <v>91.77</v>
      </c>
      <c r="F114" s="72">
        <v>96.36</v>
      </c>
      <c r="G114" s="136">
        <v>100.95</v>
      </c>
      <c r="H114" s="72">
        <v>105.49</v>
      </c>
      <c r="I114" s="136">
        <v>111.04</v>
      </c>
      <c r="J114" s="72">
        <v>116.04</v>
      </c>
      <c r="K114" s="149">
        <v>122.14</v>
      </c>
      <c r="L114" s="33"/>
      <c r="M114" s="21"/>
      <c r="N114" s="21"/>
      <c r="O114" s="21"/>
      <c r="P114" s="21"/>
      <c r="Q114" s="21"/>
      <c r="R114" s="21"/>
      <c r="S114" s="21"/>
      <c r="T114" s="21"/>
    </row>
    <row r="115" spans="1:20" s="8" customFormat="1" ht="18.75" x14ac:dyDescent="0.2">
      <c r="A115" s="52" t="s">
        <v>148</v>
      </c>
      <c r="B115" s="14" t="s">
        <v>140</v>
      </c>
      <c r="C115" s="73">
        <v>2.5</v>
      </c>
      <c r="D115" s="159">
        <v>3.9</v>
      </c>
      <c r="E115" s="73">
        <v>4.09</v>
      </c>
      <c r="F115" s="72">
        <v>4.3</v>
      </c>
      <c r="G115" s="137">
        <v>4.5</v>
      </c>
      <c r="H115" s="72">
        <v>4.71</v>
      </c>
      <c r="I115" s="137">
        <v>4.95</v>
      </c>
      <c r="J115" s="72">
        <v>5.18</v>
      </c>
      <c r="K115" s="150">
        <v>5.45</v>
      </c>
      <c r="L115" s="33"/>
      <c r="M115" s="21"/>
      <c r="N115" s="21"/>
      <c r="O115" s="21"/>
      <c r="P115" s="21"/>
      <c r="Q115" s="21"/>
      <c r="R115" s="21"/>
      <c r="S115" s="21"/>
      <c r="T115" s="21"/>
    </row>
    <row r="116" spans="1:20" s="8" customFormat="1" ht="30" customHeight="1" x14ac:dyDescent="0.2">
      <c r="A116" s="160" t="s">
        <v>129</v>
      </c>
      <c r="B116" s="104"/>
      <c r="C116" s="104"/>
      <c r="D116" s="104"/>
      <c r="E116" s="104"/>
      <c r="F116" s="104"/>
      <c r="G116" s="104"/>
      <c r="H116" s="104"/>
      <c r="I116" s="104"/>
      <c r="J116" s="104"/>
      <c r="K116" s="104"/>
      <c r="L116" s="33"/>
      <c r="M116" s="21"/>
      <c r="N116" s="21"/>
      <c r="O116" s="21"/>
      <c r="P116" s="21"/>
      <c r="Q116" s="21"/>
      <c r="R116" s="21"/>
      <c r="S116" s="21"/>
      <c r="T116" s="21"/>
    </row>
    <row r="117" spans="1:20" s="8" customFormat="1" ht="37.5" x14ac:dyDescent="0.2">
      <c r="A117" s="57" t="s">
        <v>71</v>
      </c>
      <c r="B117" s="3" t="s">
        <v>82</v>
      </c>
      <c r="C117" s="62">
        <v>5256.97</v>
      </c>
      <c r="D117" s="91">
        <v>5570.37</v>
      </c>
      <c r="E117" s="62">
        <v>6440.09</v>
      </c>
      <c r="F117" s="62">
        <v>3998.45</v>
      </c>
      <c r="G117" s="91">
        <v>3614.9</v>
      </c>
      <c r="H117" s="62">
        <v>2854.81</v>
      </c>
      <c r="I117" s="91">
        <v>2676.2</v>
      </c>
      <c r="J117" s="62">
        <v>2839.89</v>
      </c>
      <c r="K117" s="141">
        <v>2718.93</v>
      </c>
      <c r="L117" s="33"/>
      <c r="M117" s="21"/>
      <c r="N117" s="21"/>
      <c r="O117" s="21"/>
      <c r="P117" s="21"/>
      <c r="Q117" s="21"/>
      <c r="R117" s="21"/>
      <c r="S117" s="21"/>
      <c r="T117" s="21"/>
    </row>
    <row r="118" spans="1:20" s="8" customFormat="1" ht="37.5" x14ac:dyDescent="0.2">
      <c r="A118" s="57" t="s">
        <v>67</v>
      </c>
      <c r="B118" s="3" t="s">
        <v>82</v>
      </c>
      <c r="C118" s="62">
        <v>1050.74</v>
      </c>
      <c r="D118" s="91">
        <v>1173.43</v>
      </c>
      <c r="E118" s="62">
        <v>1187.5899999999999</v>
      </c>
      <c r="F118" s="62">
        <v>1117.6300000000001</v>
      </c>
      <c r="G118" s="91">
        <v>1116.8</v>
      </c>
      <c r="H118" s="62">
        <v>1140.98</v>
      </c>
      <c r="I118" s="91">
        <v>1145.5999999999999</v>
      </c>
      <c r="J118" s="62">
        <v>1198.04</v>
      </c>
      <c r="K118" s="141">
        <v>1202.8800000000001</v>
      </c>
      <c r="L118" s="33"/>
      <c r="M118" s="21"/>
      <c r="N118" s="21"/>
      <c r="O118" s="21"/>
      <c r="P118" s="21"/>
      <c r="Q118" s="21"/>
      <c r="R118" s="21"/>
      <c r="S118" s="21"/>
      <c r="T118" s="21"/>
    </row>
    <row r="119" spans="1:20" s="8" customFormat="1" ht="93.75" x14ac:dyDescent="0.2">
      <c r="A119" s="57" t="s">
        <v>152</v>
      </c>
      <c r="B119" s="3" t="s">
        <v>82</v>
      </c>
      <c r="C119" s="62">
        <v>911.69</v>
      </c>
      <c r="D119" s="91">
        <v>979.06</v>
      </c>
      <c r="E119" s="62">
        <v>950.14</v>
      </c>
      <c r="F119" s="62">
        <v>945.74</v>
      </c>
      <c r="G119" s="91">
        <v>953.1</v>
      </c>
      <c r="H119" s="62">
        <v>967.1</v>
      </c>
      <c r="I119" s="91">
        <v>980</v>
      </c>
      <c r="J119" s="62">
        <v>1015.47</v>
      </c>
      <c r="K119" s="141">
        <v>1029.01</v>
      </c>
      <c r="L119" s="33"/>
      <c r="M119" s="21"/>
      <c r="N119" s="21"/>
      <c r="O119" s="21"/>
      <c r="P119" s="21"/>
      <c r="Q119" s="21"/>
      <c r="R119" s="21"/>
      <c r="S119" s="21"/>
      <c r="T119" s="21"/>
    </row>
    <row r="120" spans="1:20" s="8" customFormat="1" ht="18.75" x14ac:dyDescent="0.2">
      <c r="A120" s="58" t="s">
        <v>97</v>
      </c>
      <c r="B120" s="3" t="s">
        <v>82</v>
      </c>
      <c r="C120" s="62">
        <v>0</v>
      </c>
      <c r="D120" s="91">
        <v>0</v>
      </c>
      <c r="E120" s="62">
        <v>0</v>
      </c>
      <c r="F120" s="62">
        <v>0</v>
      </c>
      <c r="G120" s="91">
        <v>0</v>
      </c>
      <c r="H120" s="62">
        <v>0</v>
      </c>
      <c r="I120" s="91">
        <v>0</v>
      </c>
      <c r="J120" s="62">
        <v>0</v>
      </c>
      <c r="K120" s="141">
        <v>0</v>
      </c>
      <c r="L120" s="33"/>
      <c r="M120" s="21"/>
      <c r="N120" s="21"/>
      <c r="O120" s="21"/>
      <c r="P120" s="21"/>
      <c r="Q120" s="21"/>
      <c r="R120" s="21"/>
      <c r="S120" s="21"/>
      <c r="T120" s="21"/>
    </row>
    <row r="121" spans="1:20" s="8" customFormat="1" ht="18.75" x14ac:dyDescent="0.2">
      <c r="A121" s="58" t="s">
        <v>98</v>
      </c>
      <c r="B121" s="3" t="s">
        <v>82</v>
      </c>
      <c r="C121" s="62">
        <v>450.1</v>
      </c>
      <c r="D121" s="91">
        <v>522.49</v>
      </c>
      <c r="E121" s="62">
        <v>475</v>
      </c>
      <c r="F121" s="62">
        <v>489.93</v>
      </c>
      <c r="G121" s="91">
        <v>466.6</v>
      </c>
      <c r="H121" s="62">
        <v>487.76</v>
      </c>
      <c r="I121" s="91">
        <v>469</v>
      </c>
      <c r="J121" s="62">
        <v>512.15</v>
      </c>
      <c r="K121" s="141">
        <v>492.45</v>
      </c>
      <c r="L121" s="33"/>
      <c r="M121" s="21"/>
      <c r="N121" s="21"/>
      <c r="O121" s="21"/>
      <c r="P121" s="21"/>
      <c r="Q121" s="21"/>
      <c r="R121" s="21"/>
      <c r="S121" s="21"/>
      <c r="T121" s="21"/>
    </row>
    <row r="122" spans="1:20" s="8" customFormat="1" ht="37.5" x14ac:dyDescent="0.3">
      <c r="A122" s="58" t="s">
        <v>99</v>
      </c>
      <c r="B122" s="3" t="s">
        <v>82</v>
      </c>
      <c r="C122" s="62">
        <v>0</v>
      </c>
      <c r="D122" s="91">
        <v>0</v>
      </c>
      <c r="E122" s="62">
        <v>0</v>
      </c>
      <c r="F122" s="62">
        <v>0</v>
      </c>
      <c r="G122" s="91">
        <v>0</v>
      </c>
      <c r="H122" s="62">
        <v>0</v>
      </c>
      <c r="I122" s="91">
        <v>0</v>
      </c>
      <c r="J122" s="62">
        <v>0</v>
      </c>
      <c r="K122" s="141">
        <v>0</v>
      </c>
      <c r="L122" s="38"/>
      <c r="M122" s="31"/>
      <c r="N122" s="31"/>
      <c r="O122" s="31"/>
      <c r="P122" s="31"/>
      <c r="Q122" s="31"/>
      <c r="R122" s="31"/>
      <c r="S122" s="31"/>
      <c r="T122" s="31"/>
    </row>
    <row r="123" spans="1:20" s="8" customFormat="1" ht="18.75" x14ac:dyDescent="0.3">
      <c r="A123" s="58" t="s">
        <v>100</v>
      </c>
      <c r="B123" s="3" t="s">
        <v>82</v>
      </c>
      <c r="C123" s="62">
        <v>16.399999999999999</v>
      </c>
      <c r="D123" s="91">
        <v>16.68</v>
      </c>
      <c r="E123" s="62">
        <v>16.18</v>
      </c>
      <c r="F123" s="62">
        <v>15.9</v>
      </c>
      <c r="G123" s="91">
        <v>16.600000000000001</v>
      </c>
      <c r="H123" s="62">
        <v>16.2</v>
      </c>
      <c r="I123" s="91">
        <v>16.899999999999999</v>
      </c>
      <c r="J123" s="62">
        <v>17.100000000000001</v>
      </c>
      <c r="K123" s="141">
        <v>17.8</v>
      </c>
      <c r="L123" s="38"/>
      <c r="M123" s="31"/>
      <c r="N123" s="31"/>
      <c r="O123" s="31"/>
      <c r="P123" s="31"/>
      <c r="Q123" s="31"/>
      <c r="R123" s="31"/>
      <c r="S123" s="31"/>
      <c r="T123" s="31"/>
    </row>
    <row r="124" spans="1:20" s="8" customFormat="1" ht="56.25" x14ac:dyDescent="0.3">
      <c r="A124" s="58" t="s">
        <v>101</v>
      </c>
      <c r="B124" s="3" t="s">
        <v>82</v>
      </c>
      <c r="C124" s="62">
        <v>93.49</v>
      </c>
      <c r="D124" s="91">
        <v>91.13</v>
      </c>
      <c r="E124" s="62">
        <v>110.96</v>
      </c>
      <c r="F124" s="62">
        <v>100.03</v>
      </c>
      <c r="G124" s="91">
        <v>104.2</v>
      </c>
      <c r="H124" s="62">
        <v>108.86</v>
      </c>
      <c r="I124" s="91">
        <v>113.4</v>
      </c>
      <c r="J124" s="62">
        <v>114.31</v>
      </c>
      <c r="K124" s="141">
        <v>119.07</v>
      </c>
      <c r="L124" s="38"/>
      <c r="M124" s="31"/>
      <c r="N124" s="31"/>
      <c r="O124" s="31"/>
      <c r="P124" s="31"/>
      <c r="Q124" s="31"/>
      <c r="R124" s="31"/>
      <c r="S124" s="31"/>
      <c r="T124" s="31"/>
    </row>
    <row r="125" spans="1:20" s="8" customFormat="1" ht="18.75" x14ac:dyDescent="0.3">
      <c r="A125" s="58" t="s">
        <v>102</v>
      </c>
      <c r="B125" s="3" t="s">
        <v>82</v>
      </c>
      <c r="C125" s="62">
        <v>95.83</v>
      </c>
      <c r="D125" s="91">
        <v>131.69999999999999</v>
      </c>
      <c r="E125" s="62">
        <v>132.29</v>
      </c>
      <c r="F125" s="62"/>
      <c r="G125" s="91">
        <v>139.69999999999999</v>
      </c>
      <c r="H125" s="62"/>
      <c r="I125" s="91">
        <v>147.5</v>
      </c>
      <c r="J125" s="62"/>
      <c r="K125" s="141"/>
      <c r="L125" s="38"/>
      <c r="M125" s="31"/>
      <c r="N125" s="31"/>
      <c r="O125" s="31"/>
      <c r="P125" s="31"/>
      <c r="Q125" s="31"/>
      <c r="R125" s="31"/>
      <c r="S125" s="31"/>
      <c r="T125" s="31"/>
    </row>
    <row r="126" spans="1:20" s="8" customFormat="1" ht="18.75" x14ac:dyDescent="0.3">
      <c r="A126" s="58" t="s">
        <v>103</v>
      </c>
      <c r="B126" s="3" t="s">
        <v>82</v>
      </c>
      <c r="C126" s="62">
        <v>0</v>
      </c>
      <c r="D126" s="91">
        <v>0</v>
      </c>
      <c r="E126" s="62">
        <v>0</v>
      </c>
      <c r="F126" s="62">
        <v>0</v>
      </c>
      <c r="G126" s="91">
        <v>0</v>
      </c>
      <c r="H126" s="62">
        <v>0</v>
      </c>
      <c r="I126" s="91">
        <v>0</v>
      </c>
      <c r="J126" s="62">
        <v>0</v>
      </c>
      <c r="K126" s="141">
        <v>0</v>
      </c>
      <c r="L126" s="38"/>
      <c r="M126" s="31"/>
      <c r="N126" s="31"/>
      <c r="O126" s="31"/>
      <c r="P126" s="31"/>
      <c r="Q126" s="31"/>
      <c r="R126" s="31"/>
      <c r="S126" s="31"/>
      <c r="T126" s="31"/>
    </row>
    <row r="127" spans="1:20" s="8" customFormat="1" ht="18.75" x14ac:dyDescent="0.3">
      <c r="A127" s="58" t="s">
        <v>104</v>
      </c>
      <c r="B127" s="3" t="s">
        <v>82</v>
      </c>
      <c r="C127" s="62">
        <v>0</v>
      </c>
      <c r="D127" s="91">
        <v>0</v>
      </c>
      <c r="E127" s="62">
        <v>0</v>
      </c>
      <c r="F127" s="62">
        <v>0</v>
      </c>
      <c r="G127" s="91">
        <v>0</v>
      </c>
      <c r="H127" s="62">
        <v>0</v>
      </c>
      <c r="I127" s="91">
        <v>0</v>
      </c>
      <c r="J127" s="62">
        <v>0</v>
      </c>
      <c r="K127" s="141">
        <v>0</v>
      </c>
      <c r="L127" s="38"/>
      <c r="M127" s="31"/>
      <c r="N127" s="31"/>
      <c r="O127" s="31"/>
      <c r="P127" s="31"/>
      <c r="Q127" s="31"/>
      <c r="R127" s="31"/>
      <c r="S127" s="31"/>
      <c r="T127" s="31"/>
    </row>
    <row r="128" spans="1:20" s="8" customFormat="1" ht="18.75" x14ac:dyDescent="0.3">
      <c r="A128" s="58" t="s">
        <v>105</v>
      </c>
      <c r="B128" s="3" t="s">
        <v>82</v>
      </c>
      <c r="C128" s="62">
        <v>0</v>
      </c>
      <c r="D128" s="91">
        <v>0</v>
      </c>
      <c r="E128" s="62">
        <v>0</v>
      </c>
      <c r="F128" s="62">
        <v>0</v>
      </c>
      <c r="G128" s="91">
        <v>0</v>
      </c>
      <c r="H128" s="62">
        <v>0</v>
      </c>
      <c r="I128" s="91">
        <v>0</v>
      </c>
      <c r="J128" s="62">
        <v>0</v>
      </c>
      <c r="K128" s="141">
        <v>0</v>
      </c>
      <c r="L128" s="38"/>
      <c r="M128" s="31"/>
      <c r="N128" s="31"/>
      <c r="O128" s="31"/>
      <c r="P128" s="31"/>
      <c r="Q128" s="31"/>
      <c r="R128" s="31"/>
      <c r="S128" s="31"/>
      <c r="T128" s="31"/>
    </row>
    <row r="129" spans="1:20" s="8" customFormat="1" ht="18.75" x14ac:dyDescent="0.3">
      <c r="A129" s="58" t="s">
        <v>106</v>
      </c>
      <c r="B129" s="3" t="s">
        <v>82</v>
      </c>
      <c r="C129" s="62">
        <v>220.79</v>
      </c>
      <c r="D129" s="91">
        <v>194.75</v>
      </c>
      <c r="E129" s="62">
        <v>180.35</v>
      </c>
      <c r="F129" s="62">
        <v>193.23</v>
      </c>
      <c r="G129" s="91">
        <v>185.8</v>
      </c>
      <c r="H129" s="62">
        <v>196.14</v>
      </c>
      <c r="I129" s="91">
        <v>188.6</v>
      </c>
      <c r="J129" s="62">
        <v>205.95</v>
      </c>
      <c r="K129" s="141">
        <v>198.03</v>
      </c>
      <c r="L129" s="38"/>
      <c r="M129" s="31"/>
      <c r="N129" s="31"/>
      <c r="O129" s="31"/>
      <c r="P129" s="31"/>
      <c r="Q129" s="31"/>
      <c r="R129" s="31"/>
      <c r="S129" s="31"/>
      <c r="T129" s="31"/>
    </row>
    <row r="130" spans="1:20" s="8" customFormat="1" ht="18.75" x14ac:dyDescent="0.3">
      <c r="A130" s="57" t="s">
        <v>68</v>
      </c>
      <c r="B130" s="3" t="s">
        <v>82</v>
      </c>
      <c r="C130" s="62">
        <v>139.05000000000001</v>
      </c>
      <c r="D130" s="91">
        <v>197.37</v>
      </c>
      <c r="E130" s="62">
        <v>237.45</v>
      </c>
      <c r="F130" s="62">
        <v>171.89</v>
      </c>
      <c r="G130" s="91">
        <v>163.69999999999999</v>
      </c>
      <c r="H130" s="62">
        <v>173.88</v>
      </c>
      <c r="I130" s="91">
        <v>165.6</v>
      </c>
      <c r="J130" s="62">
        <v>182.57</v>
      </c>
      <c r="K130" s="141">
        <v>173.88</v>
      </c>
      <c r="L130" s="38"/>
      <c r="M130" s="31"/>
      <c r="N130" s="31"/>
      <c r="O130" s="31"/>
      <c r="P130" s="31"/>
      <c r="Q130" s="31"/>
      <c r="R130" s="31"/>
      <c r="S130" s="31"/>
      <c r="T130" s="31"/>
    </row>
    <row r="131" spans="1:20" s="8" customFormat="1" ht="37.5" x14ac:dyDescent="0.3">
      <c r="A131" s="57" t="s">
        <v>69</v>
      </c>
      <c r="B131" s="3" t="s">
        <v>82</v>
      </c>
      <c r="C131" s="62">
        <v>4206.2299999999996</v>
      </c>
      <c r="D131" s="91">
        <v>4396.9399999999996</v>
      </c>
      <c r="E131" s="62">
        <v>5252.51</v>
      </c>
      <c r="F131" s="62">
        <v>2880.82</v>
      </c>
      <c r="G131" s="91">
        <v>2498.1</v>
      </c>
      <c r="H131" s="62">
        <v>1713.83</v>
      </c>
      <c r="I131" s="91">
        <v>1530.6</v>
      </c>
      <c r="J131" s="62">
        <v>1641.85</v>
      </c>
      <c r="K131" s="141">
        <v>1516.05</v>
      </c>
      <c r="L131" s="38"/>
      <c r="M131" s="31"/>
      <c r="N131" s="31"/>
      <c r="O131" s="31"/>
      <c r="P131" s="31"/>
      <c r="Q131" s="31"/>
      <c r="R131" s="31"/>
      <c r="S131" s="31"/>
      <c r="T131" s="31"/>
    </row>
    <row r="132" spans="1:20" s="8" customFormat="1" ht="18.75" x14ac:dyDescent="0.3">
      <c r="A132" s="58" t="s">
        <v>156</v>
      </c>
      <c r="B132" s="3" t="s">
        <v>82</v>
      </c>
      <c r="C132" s="62">
        <v>1825.2</v>
      </c>
      <c r="D132" s="91">
        <v>2500.34</v>
      </c>
      <c r="E132" s="62">
        <v>3272.96</v>
      </c>
      <c r="F132" s="62">
        <v>1033.92</v>
      </c>
      <c r="G132" s="91">
        <v>1003.8</v>
      </c>
      <c r="H132" s="62">
        <v>70</v>
      </c>
      <c r="I132" s="91">
        <v>68.400000000000006</v>
      </c>
      <c r="J132" s="62">
        <v>102.5</v>
      </c>
      <c r="K132" s="141">
        <v>50</v>
      </c>
      <c r="L132" s="38"/>
      <c r="M132" s="31"/>
      <c r="N132" s="31"/>
      <c r="O132" s="31"/>
      <c r="P132" s="31"/>
      <c r="Q132" s="31"/>
      <c r="R132" s="31"/>
      <c r="S132" s="31"/>
      <c r="T132" s="31"/>
    </row>
    <row r="133" spans="1:20" s="8" customFormat="1" ht="18.75" x14ac:dyDescent="0.3">
      <c r="A133" s="58" t="s">
        <v>157</v>
      </c>
      <c r="B133" s="3" t="s">
        <v>82</v>
      </c>
      <c r="C133" s="62">
        <v>1621.38</v>
      </c>
      <c r="D133" s="91">
        <v>3191.1</v>
      </c>
      <c r="E133" s="62">
        <v>1217.9100000000001</v>
      </c>
      <c r="F133" s="62">
        <v>1155.97</v>
      </c>
      <c r="G133" s="91">
        <v>1122.3</v>
      </c>
      <c r="H133" s="62">
        <v>1144.23</v>
      </c>
      <c r="I133" s="91">
        <v>1110.9000000000001</v>
      </c>
      <c r="J133" s="62">
        <v>1201.44</v>
      </c>
      <c r="K133" s="141">
        <v>1166.45</v>
      </c>
      <c r="L133" s="38"/>
      <c r="M133" s="31"/>
      <c r="N133" s="31"/>
      <c r="O133" s="31"/>
      <c r="P133" s="31"/>
      <c r="Q133" s="31"/>
      <c r="R133" s="31"/>
      <c r="S133" s="31"/>
      <c r="T133" s="31"/>
    </row>
    <row r="134" spans="1:20" s="8" customFormat="1" ht="37.5" x14ac:dyDescent="0.3">
      <c r="A134" s="58" t="s">
        <v>158</v>
      </c>
      <c r="B134" s="3" t="s">
        <v>82</v>
      </c>
      <c r="C134" s="62">
        <v>378.88</v>
      </c>
      <c r="D134" s="91">
        <v>344.79</v>
      </c>
      <c r="E134" s="62">
        <v>461</v>
      </c>
      <c r="F134" s="62">
        <v>390.2</v>
      </c>
      <c r="G134" s="91">
        <v>390.2</v>
      </c>
      <c r="H134" s="62">
        <v>369.6</v>
      </c>
      <c r="I134" s="91">
        <v>369.6</v>
      </c>
      <c r="J134" s="62">
        <v>369.6</v>
      </c>
      <c r="K134" s="141">
        <v>369.6</v>
      </c>
      <c r="L134" s="38"/>
      <c r="M134" s="31"/>
      <c r="N134" s="31"/>
      <c r="O134" s="31"/>
      <c r="P134" s="31"/>
      <c r="Q134" s="31"/>
      <c r="R134" s="31"/>
      <c r="S134" s="31"/>
      <c r="T134" s="31"/>
    </row>
    <row r="135" spans="1:20" s="8" customFormat="1" ht="37.5" x14ac:dyDescent="0.3">
      <c r="A135" s="58" t="s">
        <v>107</v>
      </c>
      <c r="B135" s="3" t="s">
        <v>82</v>
      </c>
      <c r="C135" s="62">
        <v>357.89</v>
      </c>
      <c r="D135" s="91">
        <v>340.96</v>
      </c>
      <c r="E135" s="62">
        <v>461</v>
      </c>
      <c r="F135" s="62">
        <v>390.2</v>
      </c>
      <c r="G135" s="91">
        <v>390.2</v>
      </c>
      <c r="H135" s="62">
        <v>369.6</v>
      </c>
      <c r="I135" s="91">
        <v>369.6</v>
      </c>
      <c r="J135" s="62">
        <v>369.6</v>
      </c>
      <c r="K135" s="141">
        <v>369.6</v>
      </c>
      <c r="L135" s="38"/>
      <c r="M135" s="31"/>
      <c r="N135" s="31"/>
      <c r="O135" s="31"/>
      <c r="P135" s="31"/>
      <c r="Q135" s="31"/>
      <c r="R135" s="31"/>
      <c r="S135" s="31"/>
      <c r="T135" s="31"/>
    </row>
    <row r="136" spans="1:20" s="8" customFormat="1" ht="56.25" x14ac:dyDescent="0.3">
      <c r="A136" s="57" t="s">
        <v>130</v>
      </c>
      <c r="B136" s="3" t="s">
        <v>82</v>
      </c>
      <c r="C136" s="19">
        <v>5207.47</v>
      </c>
      <c r="D136" s="61">
        <v>5682.35</v>
      </c>
      <c r="E136" s="19">
        <v>6592</v>
      </c>
      <c r="F136" s="19">
        <v>3633.83</v>
      </c>
      <c r="G136" s="61">
        <v>3545.1</v>
      </c>
      <c r="H136" s="19">
        <v>2655.56</v>
      </c>
      <c r="I136" s="61">
        <v>2568.88</v>
      </c>
      <c r="J136" s="19">
        <v>2655.56</v>
      </c>
      <c r="K136" s="140">
        <v>2568.8000000000002</v>
      </c>
      <c r="L136" s="38"/>
      <c r="M136" s="31"/>
      <c r="N136" s="31"/>
      <c r="O136" s="31"/>
      <c r="P136" s="31"/>
      <c r="Q136" s="31"/>
      <c r="R136" s="31"/>
      <c r="S136" s="31"/>
      <c r="T136" s="31"/>
    </row>
    <row r="137" spans="1:20" s="8" customFormat="1" ht="18.75" x14ac:dyDescent="0.3">
      <c r="A137" s="58" t="s">
        <v>108</v>
      </c>
      <c r="B137" s="3" t="s">
        <v>82</v>
      </c>
      <c r="C137" s="19">
        <v>442.41</v>
      </c>
      <c r="D137" s="61">
        <v>312.70999999999998</v>
      </c>
      <c r="E137" s="19">
        <v>352.4</v>
      </c>
      <c r="F137" s="19">
        <v>283.5</v>
      </c>
      <c r="G137" s="61">
        <v>269.97000000000003</v>
      </c>
      <c r="H137" s="62">
        <v>283.5</v>
      </c>
      <c r="I137" s="91">
        <v>270.5</v>
      </c>
      <c r="J137" s="62">
        <v>283.5</v>
      </c>
      <c r="K137" s="141">
        <v>270.5</v>
      </c>
      <c r="L137" s="38"/>
      <c r="M137" s="31"/>
      <c r="N137" s="31"/>
      <c r="O137" s="31"/>
      <c r="P137" s="31"/>
      <c r="Q137" s="31"/>
      <c r="R137" s="31"/>
      <c r="S137" s="31"/>
      <c r="T137" s="31"/>
    </row>
    <row r="138" spans="1:20" s="8" customFormat="1" ht="18.75" x14ac:dyDescent="0.3">
      <c r="A138" s="58" t="s">
        <v>109</v>
      </c>
      <c r="B138" s="3" t="s">
        <v>82</v>
      </c>
      <c r="C138" s="62">
        <v>7.88</v>
      </c>
      <c r="D138" s="91">
        <v>6.26</v>
      </c>
      <c r="E138" s="62">
        <v>7.5</v>
      </c>
      <c r="F138" s="62">
        <v>8.1999999999999993</v>
      </c>
      <c r="G138" s="91">
        <v>8.1999999999999993</v>
      </c>
      <c r="H138" s="62">
        <v>8.9</v>
      </c>
      <c r="I138" s="91">
        <v>8.9499999999999993</v>
      </c>
      <c r="J138" s="62">
        <v>8.9</v>
      </c>
      <c r="K138" s="141">
        <v>8.9</v>
      </c>
      <c r="L138" s="38"/>
      <c r="M138" s="31"/>
      <c r="N138" s="31"/>
      <c r="O138" s="31"/>
      <c r="P138" s="31"/>
      <c r="Q138" s="31"/>
      <c r="R138" s="31"/>
      <c r="S138" s="31"/>
      <c r="T138" s="31"/>
    </row>
    <row r="139" spans="1:20" s="8" customFormat="1" ht="37.5" x14ac:dyDescent="0.3">
      <c r="A139" s="58" t="s">
        <v>110</v>
      </c>
      <c r="B139" s="3" t="s">
        <v>82</v>
      </c>
      <c r="C139" s="19">
        <v>39.69</v>
      </c>
      <c r="D139" s="61">
        <v>43.91</v>
      </c>
      <c r="E139" s="19">
        <v>50.1</v>
      </c>
      <c r="F139" s="19">
        <v>40.1</v>
      </c>
      <c r="G139" s="61">
        <v>40.14</v>
      </c>
      <c r="H139" s="19">
        <v>40.1</v>
      </c>
      <c r="I139" s="61">
        <v>40.14</v>
      </c>
      <c r="J139" s="19">
        <v>40.1</v>
      </c>
      <c r="K139" s="140">
        <v>40.1</v>
      </c>
      <c r="L139" s="38"/>
      <c r="M139" s="31"/>
      <c r="N139" s="31"/>
      <c r="O139" s="31"/>
      <c r="P139" s="31"/>
      <c r="Q139" s="31"/>
      <c r="R139" s="31"/>
      <c r="S139" s="31"/>
      <c r="T139" s="31"/>
    </row>
    <row r="140" spans="1:20" s="8" customFormat="1" ht="18.75" x14ac:dyDescent="0.3">
      <c r="A140" s="58" t="s">
        <v>111</v>
      </c>
      <c r="B140" s="3" t="s">
        <v>82</v>
      </c>
      <c r="C140" s="19">
        <v>117.99</v>
      </c>
      <c r="D140" s="61">
        <v>475.18</v>
      </c>
      <c r="E140" s="19">
        <v>552.9</v>
      </c>
      <c r="F140" s="19">
        <v>28.9</v>
      </c>
      <c r="G140" s="61">
        <v>28.93</v>
      </c>
      <c r="H140" s="62">
        <v>28.7</v>
      </c>
      <c r="I140" s="91">
        <v>28.67</v>
      </c>
      <c r="J140" s="62">
        <v>28.7</v>
      </c>
      <c r="K140" s="141">
        <v>28.7</v>
      </c>
      <c r="L140" s="38"/>
      <c r="M140" s="31"/>
      <c r="N140" s="31"/>
      <c r="O140" s="31"/>
      <c r="P140" s="31"/>
      <c r="Q140" s="31"/>
      <c r="R140" s="31"/>
      <c r="S140" s="31"/>
      <c r="T140" s="31"/>
    </row>
    <row r="141" spans="1:20" s="8" customFormat="1" ht="18.75" x14ac:dyDescent="0.3">
      <c r="A141" s="58" t="s">
        <v>112</v>
      </c>
      <c r="B141" s="3" t="s">
        <v>82</v>
      </c>
      <c r="C141" s="19">
        <v>605.20000000000005</v>
      </c>
      <c r="D141" s="61">
        <v>997.6</v>
      </c>
      <c r="E141" s="19">
        <v>1669.3</v>
      </c>
      <c r="F141" s="19">
        <v>366.03</v>
      </c>
      <c r="G141" s="61">
        <v>348.6</v>
      </c>
      <c r="H141" s="19">
        <v>359.1</v>
      </c>
      <c r="I141" s="61">
        <v>342.03</v>
      </c>
      <c r="J141" s="19">
        <v>359.1</v>
      </c>
      <c r="K141" s="140">
        <v>342</v>
      </c>
      <c r="L141" s="38"/>
      <c r="M141" s="31"/>
      <c r="N141" s="31"/>
      <c r="O141" s="31"/>
      <c r="P141" s="31"/>
      <c r="Q141" s="31"/>
      <c r="R141" s="31"/>
      <c r="S141" s="31"/>
      <c r="T141" s="31"/>
    </row>
    <row r="142" spans="1:20" s="8" customFormat="1" ht="18.75" x14ac:dyDescent="0.3">
      <c r="A142" s="58" t="s">
        <v>113</v>
      </c>
      <c r="B142" s="3" t="s">
        <v>82</v>
      </c>
      <c r="C142" s="62">
        <v>0.82</v>
      </c>
      <c r="D142" s="91">
        <v>0</v>
      </c>
      <c r="E142" s="62">
        <v>0</v>
      </c>
      <c r="F142" s="62">
        <v>0</v>
      </c>
      <c r="G142" s="91">
        <v>0</v>
      </c>
      <c r="H142" s="62">
        <v>0</v>
      </c>
      <c r="I142" s="91">
        <v>0</v>
      </c>
      <c r="J142" s="62">
        <v>0</v>
      </c>
      <c r="K142" s="141">
        <v>0</v>
      </c>
      <c r="L142" s="38"/>
      <c r="M142" s="31"/>
      <c r="N142" s="31"/>
      <c r="O142" s="31"/>
      <c r="P142" s="31"/>
      <c r="Q142" s="31"/>
      <c r="R142" s="31"/>
      <c r="S142" s="31"/>
      <c r="T142" s="31"/>
    </row>
    <row r="143" spans="1:20" s="8" customFormat="1" ht="18.75" x14ac:dyDescent="0.3">
      <c r="A143" s="58" t="s">
        <v>114</v>
      </c>
      <c r="B143" s="3" t="s">
        <v>82</v>
      </c>
      <c r="C143" s="62">
        <v>1765.34</v>
      </c>
      <c r="D143" s="91">
        <v>1934.32</v>
      </c>
      <c r="E143" s="62">
        <v>2023.6</v>
      </c>
      <c r="F143" s="62">
        <v>1213.7</v>
      </c>
      <c r="G143" s="91">
        <v>1155.9000000000001</v>
      </c>
      <c r="H143" s="62">
        <v>1189.8599999999999</v>
      </c>
      <c r="I143" s="91">
        <v>1133.2</v>
      </c>
      <c r="J143" s="62">
        <v>1189.8599999999999</v>
      </c>
      <c r="K143" s="141">
        <v>1133.2</v>
      </c>
      <c r="L143" s="38"/>
      <c r="M143" s="31"/>
      <c r="N143" s="31"/>
      <c r="O143" s="31"/>
      <c r="P143" s="31"/>
      <c r="Q143" s="31"/>
      <c r="R143" s="31"/>
      <c r="S143" s="31"/>
      <c r="T143" s="31"/>
    </row>
    <row r="144" spans="1:20" s="8" customFormat="1" ht="18.75" x14ac:dyDescent="0.3">
      <c r="A144" s="58" t="s">
        <v>115</v>
      </c>
      <c r="B144" s="3" t="s">
        <v>82</v>
      </c>
      <c r="C144" s="62">
        <v>412.32</v>
      </c>
      <c r="D144" s="91">
        <v>647.09</v>
      </c>
      <c r="E144" s="62">
        <v>915</v>
      </c>
      <c r="F144" s="62">
        <v>998.2</v>
      </c>
      <c r="G144" s="91">
        <v>998.2</v>
      </c>
      <c r="H144" s="62">
        <v>59.4</v>
      </c>
      <c r="I144" s="91">
        <v>59.42</v>
      </c>
      <c r="J144" s="62">
        <v>59.4</v>
      </c>
      <c r="K144" s="141">
        <v>59.4</v>
      </c>
      <c r="L144" s="38"/>
      <c r="M144" s="31"/>
      <c r="N144" s="31"/>
      <c r="O144" s="31"/>
      <c r="P144" s="31"/>
      <c r="Q144" s="31"/>
      <c r="R144" s="31"/>
      <c r="S144" s="31"/>
      <c r="T144" s="31"/>
    </row>
    <row r="145" spans="1:20" s="8" customFormat="1" ht="18.75" x14ac:dyDescent="0.3">
      <c r="A145" s="58" t="s">
        <v>116</v>
      </c>
      <c r="B145" s="3" t="s">
        <v>82</v>
      </c>
      <c r="C145" s="62">
        <v>0</v>
      </c>
      <c r="D145" s="91">
        <v>0</v>
      </c>
      <c r="E145" s="62">
        <v>0</v>
      </c>
      <c r="F145" s="62">
        <v>0</v>
      </c>
      <c r="G145" s="91">
        <v>0</v>
      </c>
      <c r="H145" s="62">
        <v>0</v>
      </c>
      <c r="I145" s="91">
        <v>0</v>
      </c>
      <c r="J145" s="62">
        <v>0</v>
      </c>
      <c r="K145" s="141">
        <v>0</v>
      </c>
      <c r="L145" s="38"/>
      <c r="M145" s="31"/>
      <c r="N145" s="31"/>
      <c r="O145" s="31"/>
      <c r="P145" s="31"/>
      <c r="Q145" s="31"/>
      <c r="R145" s="31"/>
      <c r="S145" s="31"/>
      <c r="T145" s="31"/>
    </row>
    <row r="146" spans="1:20" s="8" customFormat="1" ht="18.75" x14ac:dyDescent="0.3">
      <c r="A146" s="58" t="s">
        <v>117</v>
      </c>
      <c r="B146" s="3" t="s">
        <v>82</v>
      </c>
      <c r="C146" s="62">
        <v>1174.17</v>
      </c>
      <c r="D146" s="91">
        <v>823.84</v>
      </c>
      <c r="E146" s="62">
        <v>737.3</v>
      </c>
      <c r="F146" s="62">
        <v>593.79999999999995</v>
      </c>
      <c r="G146" s="91">
        <v>593.79999999999995</v>
      </c>
      <c r="H146" s="62">
        <v>581.5</v>
      </c>
      <c r="I146" s="91">
        <v>581.5</v>
      </c>
      <c r="J146" s="62">
        <v>581.5</v>
      </c>
      <c r="K146" s="141">
        <v>581.5</v>
      </c>
      <c r="L146" s="38"/>
      <c r="M146" s="31"/>
      <c r="N146" s="31"/>
      <c r="O146" s="31"/>
      <c r="P146" s="31"/>
      <c r="Q146" s="31"/>
      <c r="R146" s="31"/>
      <c r="S146" s="31"/>
      <c r="T146" s="31"/>
    </row>
    <row r="147" spans="1:20" s="8" customFormat="1" ht="18.75" x14ac:dyDescent="0.3">
      <c r="A147" s="58" t="s">
        <v>118</v>
      </c>
      <c r="B147" s="3" t="s">
        <v>82</v>
      </c>
      <c r="C147" s="62">
        <v>617.20000000000005</v>
      </c>
      <c r="D147" s="91">
        <v>431.1</v>
      </c>
      <c r="E147" s="62">
        <v>257.2</v>
      </c>
      <c r="F147" s="62">
        <v>78.3</v>
      </c>
      <c r="G147" s="91">
        <v>78.260000000000005</v>
      </c>
      <c r="H147" s="62">
        <v>78.3</v>
      </c>
      <c r="I147" s="91">
        <v>78.23</v>
      </c>
      <c r="J147" s="62">
        <v>78.3</v>
      </c>
      <c r="K147" s="141"/>
      <c r="L147" s="38"/>
      <c r="M147" s="31"/>
      <c r="N147" s="31"/>
      <c r="O147" s="31"/>
      <c r="P147" s="31"/>
      <c r="Q147" s="31"/>
      <c r="R147" s="31"/>
      <c r="S147" s="31"/>
      <c r="T147" s="31"/>
    </row>
    <row r="148" spans="1:20" s="8" customFormat="1" ht="18.75" x14ac:dyDescent="0.3">
      <c r="A148" s="58" t="s">
        <v>119</v>
      </c>
      <c r="B148" s="3" t="s">
        <v>82</v>
      </c>
      <c r="C148" s="62">
        <v>4.5</v>
      </c>
      <c r="D148" s="91">
        <v>4.83</v>
      </c>
      <c r="E148" s="62">
        <v>5.0999999999999996</v>
      </c>
      <c r="F148" s="62">
        <v>4.4000000000000004</v>
      </c>
      <c r="G148" s="91">
        <v>4.4000000000000004</v>
      </c>
      <c r="H148" s="62">
        <v>4.4000000000000004</v>
      </c>
      <c r="I148" s="91">
        <v>4.4000000000000004</v>
      </c>
      <c r="J148" s="62">
        <v>4.4000000000000004</v>
      </c>
      <c r="K148" s="141">
        <v>4.4000000000000004</v>
      </c>
      <c r="L148" s="38"/>
      <c r="M148" s="31"/>
      <c r="N148" s="31"/>
      <c r="O148" s="31"/>
      <c r="P148" s="31"/>
      <c r="Q148" s="31"/>
      <c r="R148" s="31"/>
      <c r="S148" s="31"/>
      <c r="T148" s="31"/>
    </row>
    <row r="149" spans="1:20" s="8" customFormat="1" ht="36" customHeight="1" x14ac:dyDescent="0.2">
      <c r="A149" s="58" t="s">
        <v>120</v>
      </c>
      <c r="B149" s="19" t="s">
        <v>82</v>
      </c>
      <c r="C149" s="62">
        <v>19.95</v>
      </c>
      <c r="D149" s="91">
        <v>5.51</v>
      </c>
      <c r="E149" s="62">
        <v>21.6</v>
      </c>
      <c r="F149" s="62">
        <v>18.7</v>
      </c>
      <c r="G149" s="91">
        <v>18.7</v>
      </c>
      <c r="H149" s="62">
        <v>21.8</v>
      </c>
      <c r="I149" s="91">
        <v>21.84</v>
      </c>
      <c r="J149" s="62">
        <v>21.8</v>
      </c>
      <c r="K149" s="141">
        <v>21.8</v>
      </c>
      <c r="L149" s="35"/>
      <c r="M149" s="23"/>
      <c r="N149" s="23"/>
      <c r="O149" s="23"/>
      <c r="P149" s="23"/>
      <c r="Q149" s="23"/>
      <c r="R149" s="23"/>
      <c r="S149" s="23"/>
      <c r="T149" s="23"/>
    </row>
    <row r="150" spans="1:20" s="8" customFormat="1" ht="39" x14ac:dyDescent="0.3">
      <c r="A150" s="59" t="s">
        <v>72</v>
      </c>
      <c r="B150" s="14" t="s">
        <v>24</v>
      </c>
      <c r="C150" s="62">
        <v>49.5</v>
      </c>
      <c r="D150" s="91">
        <v>-11.98</v>
      </c>
      <c r="E150" s="62">
        <v>-151.91</v>
      </c>
      <c r="F150" s="62">
        <v>364.62</v>
      </c>
      <c r="G150" s="91">
        <v>69.8</v>
      </c>
      <c r="H150" s="62">
        <v>199.25</v>
      </c>
      <c r="I150" s="91">
        <v>107.32</v>
      </c>
      <c r="J150" s="62">
        <v>184.33</v>
      </c>
      <c r="K150" s="141">
        <v>150.13</v>
      </c>
      <c r="L150" s="38"/>
      <c r="M150" s="31"/>
      <c r="N150" s="31"/>
      <c r="O150" s="31"/>
      <c r="P150" s="31"/>
      <c r="Q150" s="31"/>
      <c r="R150" s="31"/>
      <c r="S150" s="31"/>
      <c r="T150" s="31"/>
    </row>
    <row r="151" spans="1:20" s="8" customFormat="1" ht="39" x14ac:dyDescent="0.3">
      <c r="A151" s="59" t="s">
        <v>73</v>
      </c>
      <c r="B151" s="14" t="s">
        <v>24</v>
      </c>
      <c r="C151" s="62">
        <v>392</v>
      </c>
      <c r="D151" s="91">
        <v>361.17</v>
      </c>
      <c r="E151" s="62">
        <v>328.37</v>
      </c>
      <c r="F151" s="62"/>
      <c r="G151" s="91">
        <v>294.89999999999998</v>
      </c>
      <c r="H151" s="62"/>
      <c r="I151" s="91">
        <v>260.56</v>
      </c>
      <c r="J151" s="62"/>
      <c r="K151" s="141">
        <v>229.23</v>
      </c>
      <c r="L151" s="38"/>
      <c r="M151" s="31"/>
      <c r="N151" s="31"/>
      <c r="O151" s="31"/>
      <c r="P151" s="31"/>
      <c r="Q151" s="31"/>
      <c r="R151" s="31"/>
      <c r="S151" s="31"/>
      <c r="T151" s="31"/>
    </row>
    <row r="152" spans="1:20" s="8" customFormat="1" ht="30" customHeight="1" x14ac:dyDescent="0.3">
      <c r="A152" s="160" t="s">
        <v>121</v>
      </c>
      <c r="B152" s="104"/>
      <c r="C152" s="104"/>
      <c r="D152" s="104"/>
      <c r="E152" s="104"/>
      <c r="F152" s="104"/>
      <c r="G152" s="104"/>
      <c r="H152" s="104"/>
      <c r="I152" s="104"/>
      <c r="J152" s="104"/>
      <c r="K152" s="104"/>
      <c r="L152" s="38"/>
      <c r="M152" s="31"/>
      <c r="N152" s="31"/>
      <c r="O152" s="31"/>
      <c r="P152" s="31"/>
      <c r="Q152" s="31"/>
      <c r="R152" s="31"/>
      <c r="S152" s="31"/>
      <c r="T152" s="31"/>
    </row>
    <row r="153" spans="1:20" s="8" customFormat="1" ht="18.75" x14ac:dyDescent="0.3">
      <c r="A153" s="51" t="s">
        <v>122</v>
      </c>
      <c r="B153" s="61" t="s">
        <v>21</v>
      </c>
      <c r="C153" s="91">
        <f>C160+C166</f>
        <v>38.411000000000001</v>
      </c>
      <c r="D153" s="91">
        <f>D160+C166</f>
        <v>39.431000000000004</v>
      </c>
      <c r="E153" s="91">
        <f t="shared" ref="E153:K153" si="1">E160+E166</f>
        <v>39.602400000000003</v>
      </c>
      <c r="F153" s="91">
        <f t="shared" si="1"/>
        <v>39.973782</v>
      </c>
      <c r="G153" s="91">
        <f t="shared" si="1"/>
        <v>40.196519819999999</v>
      </c>
      <c r="H153" s="91">
        <f t="shared" si="1"/>
        <v>40.172150909999999</v>
      </c>
      <c r="I153" s="91">
        <f t="shared" si="1"/>
        <v>40.5972250182</v>
      </c>
      <c r="J153" s="91">
        <f t="shared" si="1"/>
        <v>40.371511664549999</v>
      </c>
      <c r="K153" s="141">
        <f t="shared" si="1"/>
        <v>41.005937268382006</v>
      </c>
      <c r="L153" s="38"/>
      <c r="M153" s="31"/>
      <c r="N153" s="31"/>
      <c r="O153" s="31"/>
      <c r="P153" s="31"/>
      <c r="Q153" s="31"/>
      <c r="R153" s="31"/>
      <c r="S153" s="31"/>
      <c r="T153" s="31"/>
    </row>
    <row r="154" spans="1:20" s="8" customFormat="1" ht="37.5" x14ac:dyDescent="0.3">
      <c r="A154" s="51" t="s">
        <v>159</v>
      </c>
      <c r="B154" s="19" t="s">
        <v>21</v>
      </c>
      <c r="C154" s="62">
        <f t="shared" ref="C154:K154" si="2">C155+C156+C157</f>
        <v>91.43</v>
      </c>
      <c r="D154" s="91">
        <f t="shared" si="2"/>
        <v>89.3</v>
      </c>
      <c r="E154" s="62">
        <f t="shared" si="2"/>
        <v>90.382778999999999</v>
      </c>
      <c r="F154" s="62">
        <f t="shared" si="2"/>
        <v>88.9512</v>
      </c>
      <c r="G154" s="91">
        <f t="shared" si="2"/>
        <v>89.270399999999981</v>
      </c>
      <c r="H154" s="62">
        <f t="shared" si="2"/>
        <v>89.168460599999989</v>
      </c>
      <c r="I154" s="91">
        <f t="shared" si="2"/>
        <v>90.337703999999974</v>
      </c>
      <c r="J154" s="62">
        <f t="shared" si="2"/>
        <v>89.593474921199999</v>
      </c>
      <c r="K154" s="141">
        <f t="shared" si="2"/>
        <v>92.09825662679998</v>
      </c>
      <c r="L154" s="38"/>
      <c r="M154" s="31"/>
      <c r="N154" s="31"/>
      <c r="O154" s="31"/>
      <c r="P154" s="31"/>
      <c r="Q154" s="31"/>
      <c r="R154" s="31"/>
      <c r="S154" s="31"/>
      <c r="T154" s="31"/>
    </row>
    <row r="155" spans="1:20" s="8" customFormat="1" ht="43.5" customHeight="1" x14ac:dyDescent="0.3">
      <c r="A155" s="60" t="s">
        <v>160</v>
      </c>
      <c r="B155" s="19" t="s">
        <v>21</v>
      </c>
      <c r="C155" s="19">
        <v>80.040000000000006</v>
      </c>
      <c r="D155" s="91">
        <v>79.8</v>
      </c>
      <c r="E155" s="62">
        <f>D155*101.67/100</f>
        <v>81.132660000000001</v>
      </c>
      <c r="F155" s="62">
        <f>D155*99.7/100</f>
        <v>79.560599999999994</v>
      </c>
      <c r="G155" s="91">
        <f>D155*99.8/100</f>
        <v>79.640399999999985</v>
      </c>
      <c r="H155" s="62">
        <f>F155*100.1/100</f>
        <v>79.640160599999987</v>
      </c>
      <c r="I155" s="91">
        <f>G155*101/100</f>
        <v>80.436803999999981</v>
      </c>
      <c r="J155" s="62">
        <f>H155*100.2/100</f>
        <v>79.799440921199988</v>
      </c>
      <c r="K155" s="141">
        <f>I155*101.67/100</f>
        <v>81.780098626799983</v>
      </c>
      <c r="L155" s="38"/>
      <c r="M155" s="31"/>
      <c r="N155" s="31"/>
      <c r="O155" s="31"/>
      <c r="P155" s="31"/>
      <c r="Q155" s="31"/>
      <c r="R155" s="31"/>
      <c r="S155" s="31"/>
      <c r="T155" s="31"/>
    </row>
    <row r="156" spans="1:20" s="8" customFormat="1" ht="30" customHeight="1" x14ac:dyDescent="0.3">
      <c r="A156" s="60" t="s">
        <v>161</v>
      </c>
      <c r="B156" s="19" t="s">
        <v>21</v>
      </c>
      <c r="C156" s="19">
        <v>3.59</v>
      </c>
      <c r="D156" s="61">
        <v>2.61</v>
      </c>
      <c r="E156" s="92">
        <f>D156*95.79/100</f>
        <v>2.5001189999999998</v>
      </c>
      <c r="F156" s="62">
        <f>D156*96/100</f>
        <v>2.5055999999999998</v>
      </c>
      <c r="G156" s="91">
        <f>D156*100/100</f>
        <v>2.61</v>
      </c>
      <c r="H156" s="62">
        <f>F156*100/100</f>
        <v>2.5055999999999998</v>
      </c>
      <c r="I156" s="92">
        <f>G156*105/100</f>
        <v>2.7404999999999999</v>
      </c>
      <c r="J156" s="62">
        <f>H156*105/100</f>
        <v>2.6308799999999994</v>
      </c>
      <c r="K156" s="142">
        <f>I156*110/100</f>
        <v>3.0145499999999998</v>
      </c>
      <c r="L156" s="38"/>
      <c r="M156" s="31"/>
      <c r="N156" s="31"/>
      <c r="O156" s="31"/>
      <c r="P156" s="31"/>
      <c r="Q156" s="31"/>
      <c r="R156" s="31"/>
      <c r="S156" s="31"/>
      <c r="T156" s="31"/>
    </row>
    <row r="157" spans="1:20" s="8" customFormat="1" ht="81.75" customHeight="1" x14ac:dyDescent="0.3">
      <c r="A157" s="60" t="s">
        <v>162</v>
      </c>
      <c r="B157" s="19" t="s">
        <v>21</v>
      </c>
      <c r="C157" s="75">
        <f t="shared" ref="C157:K157" si="3">C158+C159</f>
        <v>7.8</v>
      </c>
      <c r="D157" s="75">
        <f t="shared" si="3"/>
        <v>6.89</v>
      </c>
      <c r="E157" s="75">
        <f t="shared" si="3"/>
        <v>6.75</v>
      </c>
      <c r="F157" s="75">
        <f t="shared" si="3"/>
        <v>6.8849999999999998</v>
      </c>
      <c r="G157" s="91">
        <f t="shared" si="3"/>
        <v>7.02</v>
      </c>
      <c r="H157" s="75">
        <f t="shared" si="3"/>
        <v>7.0226999999999995</v>
      </c>
      <c r="I157" s="92">
        <f t="shared" si="3"/>
        <v>7.1603999999999992</v>
      </c>
      <c r="J157" s="75">
        <f t="shared" si="3"/>
        <v>7.1631539999999996</v>
      </c>
      <c r="K157" s="142">
        <f t="shared" si="3"/>
        <v>7.3036079999999997</v>
      </c>
      <c r="L157" s="38"/>
      <c r="M157" s="31"/>
      <c r="N157" s="31"/>
      <c r="O157" s="31"/>
      <c r="P157" s="31"/>
      <c r="Q157" s="31"/>
      <c r="R157" s="31"/>
      <c r="S157" s="31"/>
      <c r="T157" s="31"/>
    </row>
    <row r="158" spans="1:20" s="8" customFormat="1" ht="47.25" customHeight="1" x14ac:dyDescent="0.3">
      <c r="A158" s="60" t="s">
        <v>163</v>
      </c>
      <c r="B158" s="19" t="s">
        <v>21</v>
      </c>
      <c r="C158" s="62">
        <v>7.8</v>
      </c>
      <c r="D158" s="91">
        <v>6.89</v>
      </c>
      <c r="E158" s="62">
        <v>6.75</v>
      </c>
      <c r="F158" s="62">
        <f>E158*102/100</f>
        <v>6.8849999999999998</v>
      </c>
      <c r="G158" s="91">
        <f>E158*104/100</f>
        <v>7.02</v>
      </c>
      <c r="H158" s="62">
        <f>F158*102/100</f>
        <v>7.0226999999999995</v>
      </c>
      <c r="I158" s="91">
        <f>G158*102/100</f>
        <v>7.1603999999999992</v>
      </c>
      <c r="J158" s="62">
        <f>H158*102/100</f>
        <v>7.1631539999999996</v>
      </c>
      <c r="K158" s="141">
        <f>I158*102/100</f>
        <v>7.3036079999999997</v>
      </c>
      <c r="L158" s="38"/>
      <c r="M158" s="31"/>
      <c r="N158" s="31"/>
      <c r="O158" s="31"/>
      <c r="P158" s="31"/>
      <c r="Q158" s="31"/>
      <c r="R158" s="31"/>
      <c r="S158" s="31"/>
      <c r="T158" s="31"/>
    </row>
    <row r="159" spans="1:20" s="8" customFormat="1" ht="40.5" customHeight="1" x14ac:dyDescent="0.3">
      <c r="A159" s="60" t="s">
        <v>164</v>
      </c>
      <c r="B159" s="19" t="s">
        <v>21</v>
      </c>
      <c r="C159" s="62">
        <v>0</v>
      </c>
      <c r="D159" s="91">
        <v>0</v>
      </c>
      <c r="E159" s="62">
        <v>0</v>
      </c>
      <c r="F159" s="62">
        <v>0</v>
      </c>
      <c r="G159" s="91">
        <v>0</v>
      </c>
      <c r="H159" s="62">
        <v>0</v>
      </c>
      <c r="I159" s="91">
        <v>0</v>
      </c>
      <c r="J159" s="62">
        <v>0</v>
      </c>
      <c r="K159" s="141">
        <v>0</v>
      </c>
      <c r="L159" s="38"/>
      <c r="M159" s="31"/>
      <c r="N159" s="31"/>
      <c r="O159" s="31"/>
      <c r="P159" s="31"/>
      <c r="Q159" s="31"/>
      <c r="R159" s="31"/>
      <c r="S159" s="31"/>
      <c r="T159" s="31"/>
    </row>
    <row r="160" spans="1:20" s="8" customFormat="1" ht="63" customHeight="1" x14ac:dyDescent="0.3">
      <c r="A160" s="51" t="s">
        <v>123</v>
      </c>
      <c r="B160" s="19" t="s">
        <v>21</v>
      </c>
      <c r="C160" s="19">
        <v>38.26</v>
      </c>
      <c r="D160" s="61">
        <v>39.28</v>
      </c>
      <c r="E160" s="62">
        <f>D160*100.5/100</f>
        <v>39.476400000000005</v>
      </c>
      <c r="F160" s="62">
        <f>E160*100.5/100</f>
        <v>39.673782000000003</v>
      </c>
      <c r="G160" s="91">
        <f>F160*101/100</f>
        <v>40.070519820000001</v>
      </c>
      <c r="H160" s="62">
        <f>F160*100.5/100</f>
        <v>39.872150910000002</v>
      </c>
      <c r="I160" s="91">
        <f>G160*101/100</f>
        <v>40.471225018200002</v>
      </c>
      <c r="J160" s="62">
        <f>H160*100.5/100</f>
        <v>40.071511664550002</v>
      </c>
      <c r="K160" s="141">
        <f>I160*101/100</f>
        <v>40.875937268382003</v>
      </c>
      <c r="L160" s="38"/>
      <c r="M160" s="31"/>
      <c r="N160" s="31"/>
      <c r="O160" s="31"/>
      <c r="P160" s="31"/>
      <c r="Q160" s="31"/>
      <c r="R160" s="31"/>
      <c r="S160" s="31"/>
      <c r="T160" s="31"/>
    </row>
    <row r="161" spans="1:20" s="8" customFormat="1" ht="69" customHeight="1" x14ac:dyDescent="0.3">
      <c r="A161" s="55" t="s">
        <v>38</v>
      </c>
      <c r="B161" s="16" t="s">
        <v>21</v>
      </c>
      <c r="C161" s="61">
        <v>15.86</v>
      </c>
      <c r="D161" s="61">
        <v>16.39</v>
      </c>
      <c r="E161" s="62">
        <f>D161*101/100</f>
        <v>16.553900000000002</v>
      </c>
      <c r="F161" s="62">
        <f>E161*100.5/100</f>
        <v>16.636669500000004</v>
      </c>
      <c r="G161" s="91">
        <f>E161*101/100</f>
        <v>16.719439000000001</v>
      </c>
      <c r="H161" s="62">
        <f>F161*100.5/100</f>
        <v>16.719852847500004</v>
      </c>
      <c r="I161" s="91">
        <f>G161*101/100</f>
        <v>16.88663339</v>
      </c>
      <c r="J161" s="62">
        <f>H161*100.5/100</f>
        <v>16.803452111737503</v>
      </c>
      <c r="K161" s="141">
        <f>I161*101/100</f>
        <v>17.055499723899999</v>
      </c>
      <c r="L161" s="117"/>
      <c r="M161" s="118"/>
      <c r="N161" s="31"/>
      <c r="O161" s="31"/>
      <c r="P161" s="31"/>
      <c r="Q161" s="31"/>
      <c r="R161" s="31"/>
      <c r="S161" s="31"/>
      <c r="T161" s="31"/>
    </row>
    <row r="162" spans="1:20" s="100" customFormat="1" ht="66" customHeight="1" x14ac:dyDescent="0.3">
      <c r="A162" s="51" t="s">
        <v>74</v>
      </c>
      <c r="B162" s="61" t="s">
        <v>219</v>
      </c>
      <c r="C162" s="61">
        <v>46245.1</v>
      </c>
      <c r="D162" s="61">
        <v>53557.5</v>
      </c>
      <c r="E162" s="92">
        <f>D162*112.4/100</f>
        <v>60198.63</v>
      </c>
      <c r="F162" s="92">
        <f>E162*F163/100</f>
        <v>61402.602599999998</v>
      </c>
      <c r="G162" s="92">
        <f>E162*G163/100</f>
        <v>63208.561499999996</v>
      </c>
      <c r="H162" s="92">
        <f>F162*102/100</f>
        <v>62630.654651999997</v>
      </c>
      <c r="I162" s="92">
        <f>G162*I163/100</f>
        <v>66368.989575</v>
      </c>
      <c r="J162" s="92">
        <f>H162*J163/100</f>
        <v>63883.267745039993</v>
      </c>
      <c r="K162" s="142">
        <f>I162*K163/100</f>
        <v>69687.43905375</v>
      </c>
      <c r="L162" s="117"/>
      <c r="M162" s="118"/>
      <c r="N162" s="99"/>
      <c r="O162" s="99"/>
      <c r="P162" s="99"/>
      <c r="Q162" s="99"/>
      <c r="R162" s="99"/>
      <c r="S162" s="99"/>
      <c r="T162" s="99"/>
    </row>
    <row r="163" spans="1:20" s="96" customFormat="1" ht="75" x14ac:dyDescent="0.3">
      <c r="A163" s="51" t="s">
        <v>124</v>
      </c>
      <c r="B163" s="61" t="s">
        <v>70</v>
      </c>
      <c r="C163" s="91">
        <v>118.88</v>
      </c>
      <c r="D163" s="91">
        <f>D162/C162*100</f>
        <v>115.81226984048041</v>
      </c>
      <c r="E163" s="91">
        <f>E162/D162*100</f>
        <v>112.39999999999999</v>
      </c>
      <c r="F163" s="61">
        <v>102</v>
      </c>
      <c r="G163" s="91">
        <v>105</v>
      </c>
      <c r="H163" s="91">
        <f>H162/F162*100</f>
        <v>102</v>
      </c>
      <c r="I163" s="91">
        <v>105</v>
      </c>
      <c r="J163" s="91">
        <v>102</v>
      </c>
      <c r="K163" s="141">
        <v>105</v>
      </c>
      <c r="L163" s="117"/>
      <c r="M163" s="118"/>
      <c r="N163" s="95"/>
      <c r="O163" s="95"/>
      <c r="P163" s="95"/>
      <c r="Q163" s="95"/>
      <c r="R163" s="95"/>
      <c r="S163" s="95"/>
      <c r="T163" s="95"/>
    </row>
    <row r="164" spans="1:20" s="8" customFormat="1" ht="51.75" customHeight="1" x14ac:dyDescent="0.3">
      <c r="A164" s="51" t="s">
        <v>25</v>
      </c>
      <c r="B164" s="3" t="s">
        <v>17</v>
      </c>
      <c r="C164" s="19">
        <v>0.22</v>
      </c>
      <c r="D164" s="91">
        <v>0.2</v>
      </c>
      <c r="E164" s="62">
        <v>0.18</v>
      </c>
      <c r="F164" s="62">
        <v>0.44</v>
      </c>
      <c r="G164" s="91">
        <v>0.18</v>
      </c>
      <c r="H164" s="62">
        <v>0.44</v>
      </c>
      <c r="I164" s="91">
        <v>0.18</v>
      </c>
      <c r="J164" s="62">
        <v>0.44</v>
      </c>
      <c r="K164" s="140">
        <v>0.18</v>
      </c>
      <c r="L164" s="119"/>
      <c r="M164" s="120"/>
      <c r="N164" s="31"/>
      <c r="O164" s="31"/>
      <c r="P164" s="31"/>
      <c r="Q164" s="31"/>
      <c r="R164" s="31"/>
      <c r="S164" s="31"/>
      <c r="T164" s="31"/>
    </row>
    <row r="165" spans="1:20" s="8" customFormat="1" ht="45.75" customHeight="1" x14ac:dyDescent="0.3">
      <c r="A165" s="51" t="s">
        <v>125</v>
      </c>
      <c r="B165" s="3" t="s">
        <v>21</v>
      </c>
      <c r="C165" s="19">
        <v>0</v>
      </c>
      <c r="D165" s="61">
        <v>0</v>
      </c>
      <c r="E165" s="19">
        <v>0</v>
      </c>
      <c r="F165" s="19">
        <v>0</v>
      </c>
      <c r="G165" s="61">
        <v>0</v>
      </c>
      <c r="H165" s="19">
        <v>0</v>
      </c>
      <c r="I165" s="61">
        <v>0</v>
      </c>
      <c r="J165" s="19">
        <v>0</v>
      </c>
      <c r="K165" s="140">
        <v>0</v>
      </c>
      <c r="L165" s="119"/>
      <c r="M165" s="120"/>
      <c r="N165" s="31"/>
      <c r="O165" s="31"/>
      <c r="P165" s="31"/>
      <c r="Q165" s="31"/>
      <c r="R165" s="31"/>
      <c r="S165" s="31"/>
      <c r="T165" s="31"/>
    </row>
    <row r="166" spans="1:20" s="8" customFormat="1" ht="93.75" x14ac:dyDescent="0.2">
      <c r="A166" s="51" t="s">
        <v>126</v>
      </c>
      <c r="B166" s="19" t="s">
        <v>21</v>
      </c>
      <c r="C166" s="19">
        <v>0.151</v>
      </c>
      <c r="D166" s="61">
        <v>0.13400000000000001</v>
      </c>
      <c r="E166" s="19">
        <v>0.126</v>
      </c>
      <c r="F166" s="62">
        <v>0.3</v>
      </c>
      <c r="G166" s="91">
        <v>0.126</v>
      </c>
      <c r="H166" s="62">
        <v>0.3</v>
      </c>
      <c r="I166" s="91">
        <v>0.126</v>
      </c>
      <c r="J166" s="62">
        <v>0.3</v>
      </c>
      <c r="K166" s="141">
        <v>0.13</v>
      </c>
      <c r="L166" s="35"/>
      <c r="M166" s="23"/>
      <c r="N166" s="23"/>
      <c r="O166" s="23"/>
      <c r="P166" s="23"/>
      <c r="Q166" s="23"/>
      <c r="R166" s="23"/>
      <c r="S166" s="23"/>
      <c r="T166" s="23"/>
    </row>
    <row r="167" spans="1:20" s="8" customFormat="1" ht="48.75" customHeight="1" x14ac:dyDescent="0.3">
      <c r="A167" s="51" t="s">
        <v>75</v>
      </c>
      <c r="B167" s="3" t="s">
        <v>82</v>
      </c>
      <c r="C167" s="19">
        <v>8799.0400000000009</v>
      </c>
      <c r="D167" s="61">
        <v>10536.33</v>
      </c>
      <c r="E167" s="91">
        <f>D167*E168/100</f>
        <v>11695.326299999999</v>
      </c>
      <c r="F167" s="91">
        <f>E167*F168/100</f>
        <v>11929.232825999998</v>
      </c>
      <c r="G167" s="91">
        <f>E167*G168/100</f>
        <v>12549.085119899997</v>
      </c>
      <c r="H167" s="91">
        <f>F167*H168/100</f>
        <v>12167.817482519997</v>
      </c>
      <c r="I167" s="91">
        <f>G167*I168/100</f>
        <v>13427.521078292997</v>
      </c>
      <c r="J167" s="91">
        <f>H167*J168/100</f>
        <v>12532.852006995596</v>
      </c>
      <c r="K167" s="141">
        <f>I167*K168/100</f>
        <v>14407.730117008387</v>
      </c>
      <c r="L167" s="38"/>
      <c r="M167" s="31"/>
      <c r="N167" s="31"/>
      <c r="O167" s="31"/>
      <c r="P167" s="31"/>
      <c r="Q167" s="31"/>
      <c r="R167" s="31"/>
      <c r="S167" s="31"/>
      <c r="T167" s="31"/>
    </row>
    <row r="168" spans="1:20" s="96" customFormat="1" ht="47.25" customHeight="1" x14ac:dyDescent="0.2">
      <c r="A168" s="51" t="s">
        <v>76</v>
      </c>
      <c r="B168" s="61" t="s">
        <v>70</v>
      </c>
      <c r="C168" s="91">
        <v>115.33</v>
      </c>
      <c r="D168" s="91">
        <f>D167/C167*100</f>
        <v>119.74408571844199</v>
      </c>
      <c r="E168" s="61">
        <v>111</v>
      </c>
      <c r="F168" s="61">
        <v>102</v>
      </c>
      <c r="G168" s="61">
        <v>107.3</v>
      </c>
      <c r="H168" s="61">
        <v>102</v>
      </c>
      <c r="I168" s="61">
        <v>107</v>
      </c>
      <c r="J168" s="61">
        <v>103</v>
      </c>
      <c r="K168" s="140">
        <v>107.3</v>
      </c>
      <c r="L168" s="97"/>
      <c r="M168" s="98"/>
      <c r="N168" s="98"/>
      <c r="O168" s="98"/>
      <c r="P168" s="98"/>
      <c r="Q168" s="98"/>
      <c r="R168" s="98"/>
      <c r="S168" s="98"/>
      <c r="T168" s="98"/>
    </row>
    <row r="169" spans="1:20" s="8" customFormat="1" ht="30" customHeight="1" x14ac:dyDescent="0.3">
      <c r="A169" s="160" t="s">
        <v>127</v>
      </c>
      <c r="B169" s="104"/>
      <c r="C169" s="104"/>
      <c r="D169" s="104"/>
      <c r="E169" s="104"/>
      <c r="F169" s="104"/>
      <c r="G169" s="104"/>
      <c r="H169" s="104"/>
      <c r="I169" s="104"/>
      <c r="J169" s="104"/>
      <c r="K169" s="104"/>
      <c r="L169" s="38"/>
      <c r="M169" s="31"/>
      <c r="N169" s="31"/>
      <c r="O169" s="31"/>
      <c r="P169" s="31"/>
      <c r="Q169" s="31"/>
      <c r="R169" s="31"/>
      <c r="S169" s="31"/>
      <c r="T169" s="31"/>
    </row>
    <row r="170" spans="1:20" s="8" customFormat="1" ht="74.25" customHeight="1" x14ac:dyDescent="0.3">
      <c r="A170" s="51" t="s">
        <v>128</v>
      </c>
      <c r="B170" s="61" t="s">
        <v>70</v>
      </c>
      <c r="C170" s="101">
        <v>97.9</v>
      </c>
      <c r="D170" s="101">
        <v>103</v>
      </c>
      <c r="E170" s="61">
        <v>109.2</v>
      </c>
      <c r="F170" s="61">
        <v>103</v>
      </c>
      <c r="G170" s="61">
        <v>105.3</v>
      </c>
      <c r="H170" s="61">
        <v>104</v>
      </c>
      <c r="I170" s="61">
        <v>105.2</v>
      </c>
      <c r="J170" s="61">
        <v>104</v>
      </c>
      <c r="K170" s="140">
        <v>105.1</v>
      </c>
      <c r="L170" s="38"/>
      <c r="M170" s="31"/>
      <c r="N170" s="31"/>
      <c r="O170" s="31"/>
      <c r="P170" s="31"/>
      <c r="Q170" s="31"/>
      <c r="R170" s="31"/>
      <c r="S170" s="31"/>
      <c r="T170" s="31"/>
    </row>
    <row r="171" spans="1:20" s="8" customFormat="1" ht="30" customHeight="1" x14ac:dyDescent="0.3">
      <c r="A171" s="160" t="s">
        <v>132</v>
      </c>
      <c r="B171" s="104"/>
      <c r="C171" s="161"/>
      <c r="D171" s="104"/>
      <c r="E171" s="104"/>
      <c r="F171" s="104"/>
      <c r="G171" s="104"/>
      <c r="H171" s="104"/>
      <c r="I171" s="104"/>
      <c r="J171" s="104"/>
      <c r="K171" s="104"/>
      <c r="L171" s="38"/>
      <c r="M171" s="31"/>
      <c r="N171" s="31"/>
      <c r="O171" s="31"/>
      <c r="P171" s="31"/>
      <c r="Q171" s="31"/>
      <c r="R171" s="31"/>
      <c r="S171" s="31"/>
      <c r="T171" s="31"/>
    </row>
    <row r="172" spans="1:20" s="8" customFormat="1" ht="37.5" x14ac:dyDescent="0.3">
      <c r="A172" s="55" t="s">
        <v>27</v>
      </c>
      <c r="B172" s="1" t="s">
        <v>26</v>
      </c>
      <c r="C172" s="64">
        <v>4003</v>
      </c>
      <c r="D172" s="61">
        <v>3821</v>
      </c>
      <c r="E172" s="19">
        <v>3821</v>
      </c>
      <c r="F172" s="19">
        <v>3821</v>
      </c>
      <c r="G172" s="61">
        <v>3821</v>
      </c>
      <c r="H172" s="19">
        <v>4141</v>
      </c>
      <c r="I172" s="61">
        <v>4141</v>
      </c>
      <c r="J172" s="19">
        <v>4141</v>
      </c>
      <c r="K172" s="140">
        <v>4141</v>
      </c>
      <c r="L172" s="38"/>
      <c r="M172" s="31"/>
      <c r="N172" s="31"/>
      <c r="O172" s="31"/>
      <c r="P172" s="31"/>
      <c r="Q172" s="31"/>
      <c r="R172" s="31"/>
      <c r="S172" s="31"/>
      <c r="T172" s="31"/>
    </row>
    <row r="173" spans="1:20" s="8" customFormat="1" ht="27" customHeight="1" x14ac:dyDescent="0.3">
      <c r="A173" s="2" t="s">
        <v>28</v>
      </c>
      <c r="B173" s="1"/>
      <c r="C173" s="64"/>
      <c r="D173" s="138"/>
      <c r="E173" s="4"/>
      <c r="F173" s="4"/>
      <c r="G173" s="138"/>
      <c r="H173" s="4"/>
      <c r="I173" s="138"/>
      <c r="J173" s="4"/>
      <c r="K173" s="151"/>
      <c r="L173" s="38"/>
      <c r="M173" s="31"/>
      <c r="N173" s="31"/>
      <c r="O173" s="31"/>
      <c r="P173" s="31"/>
      <c r="Q173" s="31"/>
      <c r="R173" s="31"/>
      <c r="S173" s="31"/>
      <c r="T173" s="31"/>
    </row>
    <row r="174" spans="1:20" s="8" customFormat="1" ht="44.25" customHeight="1" x14ac:dyDescent="0.3">
      <c r="A174" s="54" t="s">
        <v>29</v>
      </c>
      <c r="B174" s="1" t="s">
        <v>30</v>
      </c>
      <c r="C174" s="62">
        <v>87.9</v>
      </c>
      <c r="D174" s="91">
        <f>1158*10000/133680</f>
        <v>86.624775583482943</v>
      </c>
      <c r="E174" s="62">
        <f>1254*10000/133280</f>
        <v>94.087635054021604</v>
      </c>
      <c r="F174" s="62">
        <f>E174*100/100</f>
        <v>94.087635054021618</v>
      </c>
      <c r="G174" s="91">
        <f>E174*100.5/100</f>
        <v>94.558073229291708</v>
      </c>
      <c r="H174" s="62">
        <f>F174*99.5/100</f>
        <v>93.617196878751514</v>
      </c>
      <c r="I174" s="91">
        <f>G174*100.5/100</f>
        <v>95.030863595438163</v>
      </c>
      <c r="J174" s="62">
        <f>H174*99.5/100</f>
        <v>93.149110894357761</v>
      </c>
      <c r="K174" s="141">
        <f>I174*100.5/100</f>
        <v>95.506017913415363</v>
      </c>
      <c r="L174" s="38"/>
      <c r="M174" s="121"/>
      <c r="N174" s="31"/>
      <c r="O174" s="31"/>
      <c r="P174" s="31"/>
      <c r="Q174" s="31"/>
      <c r="R174" s="31"/>
      <c r="S174" s="31"/>
      <c r="T174" s="31"/>
    </row>
    <row r="175" spans="1:20" s="100" customFormat="1" ht="37.5" x14ac:dyDescent="0.2">
      <c r="A175" s="54" t="s">
        <v>31</v>
      </c>
      <c r="B175" s="105" t="s">
        <v>32</v>
      </c>
      <c r="C175" s="91">
        <f>11*100000/134300</f>
        <v>8.1906180193596434</v>
      </c>
      <c r="D175" s="91">
        <f>11*100000/133680</f>
        <v>8.2286056253740281</v>
      </c>
      <c r="E175" s="91">
        <f>11*100000/133280</f>
        <v>8.2533013205282106</v>
      </c>
      <c r="F175" s="91">
        <f>11*100000/133150</f>
        <v>8.261359369132558</v>
      </c>
      <c r="G175" s="91">
        <f>11*100000/133190</f>
        <v>8.2588782941662284</v>
      </c>
      <c r="H175" s="91">
        <f>11*100000/132750</f>
        <v>8.2862523540489637</v>
      </c>
      <c r="I175" s="91">
        <f>11*100000/133070</f>
        <v>8.26632599383783</v>
      </c>
      <c r="J175" s="91">
        <f>11*100000/132360</f>
        <v>8.3106678754910845</v>
      </c>
      <c r="K175" s="141">
        <f>11*100000/132900</f>
        <v>8.2768999247554547</v>
      </c>
      <c r="L175" s="102"/>
      <c r="M175" s="103"/>
      <c r="N175" s="103"/>
      <c r="O175" s="103"/>
      <c r="P175" s="103"/>
      <c r="Q175" s="103"/>
      <c r="R175" s="103"/>
      <c r="S175" s="103"/>
      <c r="T175" s="103"/>
    </row>
    <row r="176" spans="1:20" s="8" customFormat="1" ht="42.75" customHeight="1" x14ac:dyDescent="0.2">
      <c r="A176" s="54" t="s">
        <v>33</v>
      </c>
      <c r="B176" s="1" t="s">
        <v>32</v>
      </c>
      <c r="C176" s="91">
        <f>10*100000/134300</f>
        <v>7.4460163812360385</v>
      </c>
      <c r="D176" s="91">
        <f>10*100000/133680</f>
        <v>7.480550568521843</v>
      </c>
      <c r="E176" s="91">
        <f>10*100000/133280</f>
        <v>7.5030012004801918</v>
      </c>
      <c r="F176" s="91">
        <f>10*100000/133150</f>
        <v>7.5103266992114159</v>
      </c>
      <c r="G176" s="91">
        <f>10*100000/133190</f>
        <v>7.5080711765147532</v>
      </c>
      <c r="H176" s="91">
        <f>10*100000/132750</f>
        <v>7.5329566854990579</v>
      </c>
      <c r="I176" s="91">
        <f>10*100000/133070</f>
        <v>7.5148418125798448</v>
      </c>
      <c r="J176" s="91">
        <f>10*100000/132360</f>
        <v>7.5551526140828047</v>
      </c>
      <c r="K176" s="141">
        <f>10*100000/132900</f>
        <v>7.5244544770504138</v>
      </c>
      <c r="L176" s="35"/>
      <c r="M176" s="23"/>
      <c r="N176" s="23"/>
      <c r="O176" s="23"/>
      <c r="P176" s="23"/>
      <c r="Q176" s="23"/>
      <c r="R176" s="23"/>
      <c r="S176" s="23"/>
      <c r="T176" s="23"/>
    </row>
    <row r="177" spans="1:20" s="8" customFormat="1" ht="37.5" x14ac:dyDescent="0.3">
      <c r="A177" s="54" t="s">
        <v>34</v>
      </c>
      <c r="B177" s="1" t="s">
        <v>39</v>
      </c>
      <c r="C177" s="19">
        <v>463.9</v>
      </c>
      <c r="D177" s="61">
        <v>464.1</v>
      </c>
      <c r="E177" s="19">
        <v>464.1</v>
      </c>
      <c r="F177" s="19">
        <v>464.1</v>
      </c>
      <c r="G177" s="61">
        <v>464.1</v>
      </c>
      <c r="H177" s="19">
        <v>501.2</v>
      </c>
      <c r="I177" s="61">
        <v>501.2</v>
      </c>
      <c r="J177" s="19">
        <v>501.2</v>
      </c>
      <c r="K177" s="140">
        <v>501.2</v>
      </c>
      <c r="L177" s="38"/>
      <c r="M177" s="31"/>
      <c r="N177" s="31"/>
      <c r="O177" s="31"/>
      <c r="P177" s="31"/>
      <c r="Q177" s="31"/>
      <c r="R177" s="31"/>
      <c r="S177" s="31"/>
      <c r="T177" s="31"/>
    </row>
    <row r="178" spans="1:20" s="8" customFormat="1" ht="30" customHeight="1" x14ac:dyDescent="0.3">
      <c r="A178" s="160" t="s">
        <v>133</v>
      </c>
      <c r="B178" s="104"/>
      <c r="C178" s="104"/>
      <c r="D178" s="104"/>
      <c r="E178" s="104"/>
      <c r="F178" s="104"/>
      <c r="G178" s="104"/>
      <c r="H178" s="104"/>
      <c r="I178" s="104"/>
      <c r="J178" s="104"/>
      <c r="K178" s="104"/>
      <c r="L178" s="38"/>
      <c r="M178" s="31"/>
      <c r="N178" s="31"/>
      <c r="O178" s="31"/>
      <c r="P178" s="31"/>
      <c r="Q178" s="31"/>
      <c r="R178" s="31"/>
      <c r="S178" s="31"/>
      <c r="T178" s="31"/>
    </row>
    <row r="179" spans="1:20" s="8" customFormat="1" ht="68.25" customHeight="1" x14ac:dyDescent="0.3">
      <c r="A179" s="17" t="s">
        <v>35</v>
      </c>
      <c r="B179" s="18"/>
      <c r="C179" s="18"/>
      <c r="D179" s="104"/>
      <c r="E179" s="18"/>
      <c r="F179" s="18"/>
      <c r="G179" s="104"/>
      <c r="H179" s="18"/>
      <c r="I179" s="104"/>
      <c r="J179" s="18"/>
      <c r="K179" s="104"/>
      <c r="L179" s="38"/>
      <c r="M179" s="31"/>
      <c r="N179" s="31"/>
      <c r="O179" s="31"/>
      <c r="P179" s="31"/>
      <c r="Q179" s="31"/>
      <c r="R179" s="31"/>
      <c r="S179" s="31"/>
      <c r="T179" s="31"/>
    </row>
    <row r="180" spans="1:20" s="8" customFormat="1" ht="27" customHeight="1" x14ac:dyDescent="0.2">
      <c r="A180" s="55" t="s">
        <v>203</v>
      </c>
      <c r="B180" s="16" t="s">
        <v>21</v>
      </c>
      <c r="C180" s="19">
        <v>4.7</v>
      </c>
      <c r="D180" s="61">
        <v>4.9000000000000004</v>
      </c>
      <c r="E180" s="19">
        <v>5.0999999999999996</v>
      </c>
      <c r="F180" s="62">
        <f>E180*101/100</f>
        <v>5.1509999999999989</v>
      </c>
      <c r="G180" s="91">
        <f>E180*104.5/100</f>
        <v>5.3294999999999995</v>
      </c>
      <c r="H180" s="62">
        <f>F180*100.5/100</f>
        <v>5.1767549999999991</v>
      </c>
      <c r="I180" s="91">
        <f>G180*104.5/100</f>
        <v>5.5693274999999991</v>
      </c>
      <c r="J180" s="62">
        <f>H180*100.5/100</f>
        <v>5.2026387749999996</v>
      </c>
      <c r="K180" s="141">
        <f>I180*104.5/100</f>
        <v>5.8199472374999992</v>
      </c>
      <c r="L180" s="35"/>
      <c r="M180" s="23"/>
      <c r="N180" s="23"/>
      <c r="O180" s="23"/>
      <c r="P180" s="23"/>
      <c r="Q180" s="23"/>
      <c r="R180" s="23"/>
      <c r="S180" s="23"/>
      <c r="T180" s="23"/>
    </row>
    <row r="181" spans="1:20" s="8" customFormat="1" ht="25.5" customHeight="1" x14ac:dyDescent="0.3">
      <c r="A181" s="55" t="s">
        <v>204</v>
      </c>
      <c r="B181" s="16" t="s">
        <v>21</v>
      </c>
      <c r="C181" s="19">
        <v>0</v>
      </c>
      <c r="D181" s="61">
        <v>0</v>
      </c>
      <c r="E181" s="19">
        <v>0</v>
      </c>
      <c r="F181" s="4"/>
      <c r="G181" s="138"/>
      <c r="H181" s="4"/>
      <c r="I181" s="138"/>
      <c r="J181" s="4"/>
      <c r="K181" s="151"/>
      <c r="L181" s="38"/>
      <c r="M181" s="31"/>
      <c r="N181" s="31"/>
      <c r="O181" s="31"/>
      <c r="P181" s="31"/>
      <c r="Q181" s="31"/>
      <c r="R181" s="31"/>
      <c r="S181" s="31"/>
      <c r="T181" s="31"/>
    </row>
    <row r="182" spans="1:20" ht="21.75" customHeight="1" x14ac:dyDescent="0.3">
      <c r="A182" s="55" t="s">
        <v>205</v>
      </c>
      <c r="B182" s="16" t="s">
        <v>21</v>
      </c>
      <c r="C182" s="19">
        <v>4.7</v>
      </c>
      <c r="D182" s="61">
        <v>4.9000000000000004</v>
      </c>
      <c r="E182" s="61">
        <v>5.0999999999999996</v>
      </c>
      <c r="F182" s="91">
        <f>E182*101/100</f>
        <v>5.1509999999999989</v>
      </c>
      <c r="G182" s="91">
        <f>E180*104.5/100</f>
        <v>5.3294999999999995</v>
      </c>
      <c r="H182" s="91">
        <f>F180*100.5/100</f>
        <v>5.1767549999999991</v>
      </c>
      <c r="I182" s="91">
        <f>G180*104.5/100</f>
        <v>5.5693274999999991</v>
      </c>
      <c r="J182" s="91">
        <f>H180*100.5/100</f>
        <v>5.2026387749999996</v>
      </c>
      <c r="K182" s="141">
        <f>I180*104.5/100</f>
        <v>5.8199472374999992</v>
      </c>
      <c r="L182" s="38"/>
      <c r="M182" s="31"/>
      <c r="N182" s="31"/>
      <c r="O182" s="31"/>
      <c r="P182" s="31"/>
      <c r="Q182" s="31"/>
      <c r="R182" s="31"/>
      <c r="S182" s="31"/>
      <c r="T182" s="31"/>
    </row>
    <row r="183" spans="1:20" ht="37.5" x14ac:dyDescent="0.3">
      <c r="A183" s="17" t="s">
        <v>36</v>
      </c>
      <c r="B183" s="18"/>
      <c r="C183" s="76"/>
      <c r="D183" s="104"/>
      <c r="E183" s="18"/>
      <c r="F183" s="18"/>
      <c r="G183" s="104"/>
      <c r="H183" s="18"/>
      <c r="I183" s="104"/>
      <c r="J183" s="18"/>
      <c r="K183" s="104"/>
      <c r="L183" s="38"/>
      <c r="M183" s="31"/>
      <c r="N183" s="31"/>
      <c r="O183" s="31"/>
      <c r="P183" s="31"/>
      <c r="Q183" s="31"/>
      <c r="R183" s="31"/>
      <c r="S183" s="31"/>
      <c r="T183" s="31"/>
    </row>
    <row r="184" spans="1:20" ht="25.5" customHeight="1" x14ac:dyDescent="0.3">
      <c r="A184" s="55" t="s">
        <v>203</v>
      </c>
      <c r="B184" s="16" t="s">
        <v>21</v>
      </c>
      <c r="C184" s="19"/>
      <c r="D184" s="138"/>
      <c r="E184" s="4"/>
      <c r="F184" s="4"/>
      <c r="G184" s="138"/>
      <c r="H184" s="4"/>
      <c r="I184" s="138"/>
      <c r="J184" s="4"/>
      <c r="K184" s="151"/>
      <c r="L184" s="38"/>
      <c r="M184" s="31"/>
      <c r="N184" s="31"/>
      <c r="O184" s="31"/>
      <c r="P184" s="31"/>
      <c r="Q184" s="31"/>
      <c r="R184" s="31"/>
      <c r="S184" s="31"/>
      <c r="T184" s="31"/>
    </row>
    <row r="185" spans="1:20" ht="25.5" customHeight="1" x14ac:dyDescent="0.3">
      <c r="A185" s="55" t="s">
        <v>206</v>
      </c>
      <c r="B185" s="16" t="s">
        <v>21</v>
      </c>
      <c r="C185" s="19"/>
      <c r="D185" s="138"/>
      <c r="E185" s="4"/>
      <c r="F185" s="4"/>
      <c r="G185" s="138"/>
      <c r="H185" s="4"/>
      <c r="I185" s="138"/>
      <c r="J185" s="4"/>
      <c r="K185" s="138"/>
      <c r="L185" s="9"/>
      <c r="M185" s="9"/>
      <c r="N185" s="9"/>
      <c r="O185" s="9"/>
      <c r="P185" s="9"/>
      <c r="Q185" s="9"/>
      <c r="R185" s="9"/>
      <c r="S185" s="9"/>
      <c r="T185" s="9"/>
    </row>
    <row r="186" spans="1:20" ht="25.5" customHeight="1" x14ac:dyDescent="0.3">
      <c r="A186" s="55" t="s">
        <v>207</v>
      </c>
      <c r="B186" s="16" t="s">
        <v>21</v>
      </c>
      <c r="C186" s="19"/>
      <c r="D186" s="138"/>
      <c r="E186" s="4"/>
      <c r="F186" s="4"/>
      <c r="G186" s="138"/>
      <c r="H186" s="4"/>
      <c r="I186" s="138"/>
      <c r="J186" s="4"/>
      <c r="K186" s="138"/>
      <c r="L186" s="9"/>
      <c r="M186" s="9"/>
      <c r="N186" s="9"/>
      <c r="O186" s="9"/>
      <c r="P186" s="9"/>
      <c r="Q186" s="9"/>
      <c r="R186" s="9"/>
      <c r="S186" s="9"/>
      <c r="T186" s="9"/>
    </row>
    <row r="187" spans="1:20" ht="47.25" customHeight="1" x14ac:dyDescent="0.2">
      <c r="A187" s="54" t="s">
        <v>208</v>
      </c>
      <c r="B187" s="1" t="s">
        <v>21</v>
      </c>
      <c r="C187" s="19">
        <v>484.6</v>
      </c>
      <c r="D187" s="61">
        <v>539.20000000000005</v>
      </c>
      <c r="E187" s="19">
        <v>539.5</v>
      </c>
      <c r="F187" s="84">
        <f>E187*101/100</f>
        <v>544.89499999999998</v>
      </c>
      <c r="G187" s="92">
        <f>E187*105/100</f>
        <v>566.47500000000002</v>
      </c>
      <c r="H187" s="84">
        <f>F187*101/100</f>
        <v>550.34394999999995</v>
      </c>
      <c r="I187" s="92">
        <f>G187*105/100</f>
        <v>594.79875000000004</v>
      </c>
      <c r="J187" s="84">
        <f>H187*101/100</f>
        <v>555.84738949999996</v>
      </c>
      <c r="K187" s="92">
        <f>I187*105/100</f>
        <v>624.53868750000004</v>
      </c>
      <c r="L187" s="9"/>
      <c r="M187" s="9"/>
      <c r="N187" s="9"/>
      <c r="O187" s="9"/>
      <c r="P187" s="9"/>
      <c r="Q187" s="9"/>
      <c r="R187" s="9"/>
      <c r="S187" s="9"/>
      <c r="T187" s="9"/>
    </row>
    <row r="188" spans="1:20" ht="70.5" customHeight="1" x14ac:dyDescent="0.2">
      <c r="A188" s="55" t="s">
        <v>209</v>
      </c>
      <c r="B188" s="16" t="s">
        <v>21</v>
      </c>
      <c r="C188" s="19">
        <v>484.6</v>
      </c>
      <c r="D188" s="61">
        <v>539.20000000000005</v>
      </c>
      <c r="E188" s="61">
        <f>D188*105/100</f>
        <v>566.16000000000008</v>
      </c>
      <c r="F188" s="92">
        <f>E188*101/100</f>
        <v>571.8216000000001</v>
      </c>
      <c r="G188" s="92">
        <f>E188*105/100</f>
        <v>594.46800000000007</v>
      </c>
      <c r="H188" s="92">
        <f>F188*101/100</f>
        <v>577.53981600000009</v>
      </c>
      <c r="I188" s="92">
        <f>G188*105/100</f>
        <v>624.19140000000004</v>
      </c>
      <c r="J188" s="92">
        <f>H188*101/100</f>
        <v>583.3152141600001</v>
      </c>
      <c r="K188" s="92">
        <f>I188*105/100</f>
        <v>655.40097000000014</v>
      </c>
      <c r="L188" s="9"/>
      <c r="M188" s="9"/>
      <c r="N188" s="9"/>
      <c r="O188" s="9"/>
      <c r="P188" s="9"/>
      <c r="Q188" s="9"/>
      <c r="R188" s="9"/>
      <c r="S188" s="9"/>
      <c r="T188" s="9"/>
    </row>
    <row r="189" spans="1:20" ht="88.5" customHeight="1" x14ac:dyDescent="0.2">
      <c r="A189" s="55" t="s">
        <v>210</v>
      </c>
      <c r="B189" s="16" t="s">
        <v>47</v>
      </c>
      <c r="C189" s="19">
        <v>7744.88</v>
      </c>
      <c r="D189" s="91">
        <f>C189*110/100</f>
        <v>8519.3680000000004</v>
      </c>
      <c r="E189" s="62">
        <f>D189*101/100</f>
        <v>8604.5616800000007</v>
      </c>
      <c r="F189" s="62">
        <f>E189*101/100</f>
        <v>8690.6072968000008</v>
      </c>
      <c r="G189" s="91">
        <f>E189*102/100</f>
        <v>8776.6529136000008</v>
      </c>
      <c r="H189" s="62">
        <f>F189*101/100</f>
        <v>8777.5133697680012</v>
      </c>
      <c r="I189" s="91">
        <f>G189*102/100</f>
        <v>8952.1859718720007</v>
      </c>
      <c r="J189" s="62">
        <f>H189*101/100</f>
        <v>8865.2885034656811</v>
      </c>
      <c r="K189" s="91">
        <f>I189*102/100</f>
        <v>9131.2296913094415</v>
      </c>
      <c r="L189" s="9"/>
      <c r="M189" s="9"/>
      <c r="N189" s="9"/>
      <c r="O189" s="9"/>
      <c r="P189" s="9"/>
      <c r="Q189" s="9"/>
      <c r="R189" s="9"/>
      <c r="S189" s="9"/>
      <c r="T189" s="9"/>
    </row>
    <row r="190" spans="1:20" ht="17.25" hidden="1" customHeight="1" x14ac:dyDescent="0.3">
      <c r="A190" s="45"/>
      <c r="B190" s="46"/>
      <c r="C190" s="47"/>
      <c r="D190" s="89"/>
      <c r="E190" s="47"/>
      <c r="F190" s="47"/>
      <c r="G190" s="79"/>
      <c r="H190" s="47"/>
      <c r="I190" s="79"/>
      <c r="J190" s="47"/>
      <c r="K190" s="79"/>
      <c r="L190" s="9"/>
      <c r="M190" s="9"/>
      <c r="N190" s="9"/>
      <c r="O190" s="9"/>
      <c r="P190" s="9"/>
      <c r="Q190" s="9"/>
      <c r="R190" s="9"/>
      <c r="S190" s="9"/>
      <c r="T190" s="9"/>
    </row>
    <row r="191" spans="1:20" ht="30" customHeight="1" x14ac:dyDescent="0.3">
      <c r="A191" s="7" t="s">
        <v>213</v>
      </c>
      <c r="B191" s="7"/>
      <c r="C191" s="9"/>
      <c r="D191" s="90"/>
      <c r="E191" s="9"/>
      <c r="F191" s="9"/>
      <c r="G191" s="93"/>
      <c r="H191" s="9"/>
      <c r="I191" s="93"/>
      <c r="J191" s="9"/>
      <c r="K191" s="93"/>
      <c r="L191" s="8"/>
      <c r="M191" s="8"/>
      <c r="N191" s="8"/>
      <c r="O191" s="8"/>
      <c r="P191" s="8"/>
      <c r="Q191" s="8"/>
      <c r="R191" s="8"/>
      <c r="S191" s="8"/>
      <c r="T191" s="8"/>
    </row>
    <row r="192" spans="1:20" ht="21.75" customHeight="1" x14ac:dyDescent="0.3">
      <c r="A192" s="7" t="s">
        <v>212</v>
      </c>
      <c r="B192" s="7"/>
      <c r="C192" s="9"/>
      <c r="D192" s="90"/>
      <c r="E192" s="9"/>
      <c r="F192" s="9"/>
      <c r="G192" s="93"/>
      <c r="H192" s="9"/>
      <c r="I192" s="93"/>
      <c r="J192" s="9"/>
      <c r="K192" s="93"/>
      <c r="L192" s="8"/>
      <c r="M192" s="8"/>
      <c r="N192" s="8"/>
      <c r="O192" s="8"/>
      <c r="P192" s="8"/>
      <c r="Q192" s="8"/>
      <c r="R192" s="8"/>
      <c r="S192" s="8"/>
      <c r="T192" s="8"/>
    </row>
    <row r="193" spans="1:20" ht="21.75" customHeight="1" x14ac:dyDescent="0.3">
      <c r="A193" s="50" t="s">
        <v>211</v>
      </c>
      <c r="B193" s="7"/>
      <c r="C193" s="9"/>
      <c r="D193" s="90"/>
      <c r="E193" s="9"/>
      <c r="F193" s="9"/>
      <c r="G193" s="93"/>
      <c r="H193" s="9"/>
      <c r="I193" s="93"/>
      <c r="J193" s="9"/>
      <c r="K193" s="93"/>
      <c r="L193" s="8"/>
      <c r="M193" s="8"/>
      <c r="N193" s="8"/>
      <c r="O193" s="8"/>
      <c r="P193" s="8"/>
      <c r="Q193" s="8"/>
      <c r="R193" s="8"/>
      <c r="S193" s="8"/>
      <c r="T193" s="8"/>
    </row>
    <row r="194" spans="1:20" ht="18.75" x14ac:dyDescent="0.3">
      <c r="A194" s="6"/>
      <c r="B194" s="7"/>
      <c r="C194" s="8"/>
      <c r="D194" s="42"/>
      <c r="E194" s="8"/>
      <c r="F194" s="8"/>
      <c r="G194" s="80"/>
      <c r="H194" s="8"/>
      <c r="I194" s="80"/>
      <c r="J194" s="8"/>
      <c r="K194" s="80"/>
      <c r="L194" s="8"/>
      <c r="M194" s="8"/>
      <c r="N194" s="8"/>
      <c r="O194" s="8"/>
      <c r="P194" s="8"/>
      <c r="Q194" s="8"/>
      <c r="R194" s="8"/>
      <c r="S194" s="8"/>
      <c r="T194" s="8"/>
    </row>
    <row r="195" spans="1:20" ht="18.75" x14ac:dyDescent="0.3">
      <c r="A195" s="6"/>
      <c r="B195" s="7"/>
      <c r="C195" s="8"/>
      <c r="D195" s="42"/>
      <c r="E195" s="8"/>
      <c r="F195" s="8"/>
      <c r="G195" s="80"/>
      <c r="H195" s="8"/>
      <c r="I195" s="80"/>
      <c r="J195" s="8"/>
      <c r="K195" s="80"/>
      <c r="L195" s="8"/>
      <c r="M195" s="8"/>
      <c r="N195" s="8"/>
      <c r="O195" s="8"/>
      <c r="P195" s="8"/>
      <c r="Q195" s="8"/>
      <c r="R195" s="8"/>
      <c r="S195" s="8"/>
      <c r="T195" s="8"/>
    </row>
    <row r="196" spans="1:20" x14ac:dyDescent="0.2">
      <c r="A196" s="8"/>
      <c r="B196" s="9"/>
      <c r="C196" s="8"/>
      <c r="D196" s="42"/>
      <c r="E196" s="8"/>
      <c r="F196" s="8"/>
      <c r="G196" s="80"/>
      <c r="H196" s="8"/>
      <c r="I196" s="80"/>
      <c r="J196" s="8"/>
      <c r="K196" s="80"/>
      <c r="L196" s="8"/>
      <c r="M196" s="8"/>
      <c r="N196" s="8"/>
      <c r="O196" s="8"/>
      <c r="P196" s="8"/>
      <c r="Q196" s="8"/>
      <c r="R196" s="8"/>
      <c r="S196" s="8"/>
      <c r="T196" s="8"/>
    </row>
    <row r="197" spans="1:20" x14ac:dyDescent="0.2">
      <c r="A197" s="8"/>
      <c r="B197" s="9"/>
      <c r="C197" s="8"/>
      <c r="D197" s="42"/>
      <c r="E197" s="8"/>
      <c r="F197" s="8"/>
      <c r="G197" s="80"/>
      <c r="H197" s="8"/>
      <c r="I197" s="80"/>
      <c r="J197" s="8"/>
      <c r="K197" s="80"/>
      <c r="L197" s="8"/>
      <c r="M197" s="8"/>
      <c r="N197" s="8"/>
      <c r="O197" s="8"/>
      <c r="P197" s="8"/>
      <c r="Q197" s="8"/>
      <c r="R197" s="8"/>
      <c r="S197" s="8"/>
      <c r="T197" s="8"/>
    </row>
    <row r="198" spans="1:20" x14ac:dyDescent="0.2">
      <c r="A198" s="8"/>
      <c r="B198" s="9"/>
      <c r="C198" s="8"/>
      <c r="D198" s="42"/>
      <c r="E198" s="8"/>
      <c r="F198" s="8"/>
      <c r="G198" s="80"/>
      <c r="H198" s="8"/>
      <c r="I198" s="80"/>
      <c r="J198" s="8"/>
      <c r="K198" s="80"/>
    </row>
    <row r="199" spans="1:20" x14ac:dyDescent="0.2">
      <c r="A199" s="8"/>
      <c r="B199" s="9"/>
      <c r="C199" s="8"/>
      <c r="D199" s="42"/>
      <c r="E199" s="8"/>
      <c r="F199" s="8"/>
      <c r="G199" s="80"/>
      <c r="H199" s="8"/>
      <c r="I199" s="80"/>
      <c r="J199" s="8"/>
      <c r="K199" s="80"/>
    </row>
    <row r="200" spans="1:20" x14ac:dyDescent="0.2">
      <c r="A200" s="8"/>
      <c r="B200" s="9"/>
      <c r="C200" s="8"/>
      <c r="D200" s="42"/>
      <c r="E200" s="8"/>
      <c r="F200" s="8"/>
      <c r="G200" s="80"/>
      <c r="H200" s="8"/>
      <c r="I200" s="80"/>
      <c r="J200" s="8"/>
      <c r="K200" s="80"/>
    </row>
  </sheetData>
  <mergeCells count="15">
    <mergeCell ref="A96:K96"/>
    <mergeCell ref="G1:K3"/>
    <mergeCell ref="A77:J77"/>
    <mergeCell ref="A67:H67"/>
    <mergeCell ref="A64:E64"/>
    <mergeCell ref="A6:K6"/>
    <mergeCell ref="F8:K8"/>
    <mergeCell ref="F9:G9"/>
    <mergeCell ref="H9:I9"/>
    <mergeCell ref="J9:K9"/>
    <mergeCell ref="B8:B11"/>
    <mergeCell ref="C9:C11"/>
    <mergeCell ref="D9:D11"/>
    <mergeCell ref="E9:E11"/>
    <mergeCell ref="A8:A11"/>
  </mergeCells>
  <printOptions horizontalCentered="1" verticalCentered="1"/>
  <pageMargins left="0" right="0" top="0" bottom="0" header="0" footer="0"/>
  <pageSetup paperSize="9" scale="56" fitToHeight="0" orientation="landscape" useFirstPageNumber="1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форма 2п для МО и ГО</vt:lpstr>
      <vt:lpstr>Лист1</vt:lpstr>
      <vt:lpstr>'форма 2п для МО и ГО'!Заголовки_для_печати</vt:lpstr>
      <vt:lpstr>'форма 2п для МО и ГО'!Область_печати</vt:lpstr>
    </vt:vector>
  </TitlesOfParts>
  <Company>economy.gov.ru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Borovaya</dc:creator>
  <cp:lastModifiedBy>Professional</cp:lastModifiedBy>
  <cp:lastPrinted>2024-07-04T11:52:27Z</cp:lastPrinted>
  <dcterms:created xsi:type="dcterms:W3CDTF">2013-05-25T16:45:04Z</dcterms:created>
  <dcterms:modified xsi:type="dcterms:W3CDTF">2024-07-04T13:54:31Z</dcterms:modified>
</cp:coreProperties>
</file>